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ssumptions" sheetId="2" state="visible" r:id="rId4"/>
    <sheet name="GDV" sheetId="3" state="visible" r:id="rId5"/>
    <sheet name="Costs" sheetId="4" state="visible" r:id="rId6"/>
    <sheet name="Sensitivity" sheetId="5" state="visible" r:id="rId7"/>
    <sheet name="Lot Schedule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<sst xmlns="http://schemas.openxmlformats.org/spreadsheetml/2006/main" count="334" uniqueCount="279">
  <si>
    <t xml:space="preserve">DEVELOPMENT FEASIBILITY — 4 RUSSELL AVENUE, NORMAN PARK QLD 4170</t>
  </si>
  <si>
    <t xml:space="preserve">5-Lot Land Subdivision  ·  LDR Zone  ·  2,091 m²  ·  84m Corner Frontage  ·  Prepared 27 April 2026</t>
  </si>
  <si>
    <t xml:space="preserve">  KEY METRICS — MID-CASE SCENARIO</t>
  </si>
  <si>
    <t xml:space="preserve">Purchase Price (assumed)</t>
  </si>
  <si>
    <t xml:space="preserve">Gross Development Value (land GDV)</t>
  </si>
  <si>
    <t xml:space="preserve">Total Project Costs</t>
  </si>
  <si>
    <t xml:space="preserve">Net Profit (before tax)</t>
  </si>
  <si>
    <t xml:space="preserve">Margin on Cost</t>
  </si>
  <si>
    <t xml:space="preserve">Margin on GDV</t>
  </si>
  <si>
    <t xml:space="preserve">Return on Equity (cash-on-cash)</t>
  </si>
  <si>
    <t xml:space="preserve">Implied IRR (18-month hold)</t>
  </si>
  <si>
    <t xml:space="preserve">  SCENARIO COMPARISON</t>
  </si>
  <si>
    <t xml:space="preserve">LOW</t>
  </si>
  <si>
    <t xml:space="preserve">MID</t>
  </si>
  <si>
    <t xml:space="preserve">HIGH</t>
  </si>
  <si>
    <t xml:space="preserve">STRETCH</t>
  </si>
  <si>
    <t xml:space="preserve">Purchase Price</t>
  </si>
  <si>
    <t xml:space="preserve">Land Rate / m²</t>
  </si>
  <si>
    <t xml:space="preserve">GDV (land only)</t>
  </si>
  <si>
    <t xml:space="preserve">Total Costs</t>
  </si>
  <si>
    <t xml:space="preserve">Net Profit</t>
  </si>
  <si>
    <t xml:space="preserve">  SUBJECT PROPERTY PROFILE</t>
  </si>
  <si>
    <t xml:space="preserve">Address</t>
  </si>
  <si>
    <t xml:space="preserve">4 Russell Avenue, Norman Park QLD 4170</t>
  </si>
  <si>
    <t xml:space="preserve">RPD / Lots</t>
  </si>
  <si>
    <t xml:space="preserve">L3 RP104601 · L1-2 RP104602 · L73 RP45674 · L2 RP81287 (5 existing lot records)</t>
  </si>
  <si>
    <t xml:space="preserve">Total Land Area</t>
  </si>
  <si>
    <t xml:space="preserve">2,091 m²</t>
  </si>
  <si>
    <t xml:space="preserve">Frontage</t>
  </si>
  <si>
    <t xml:space="preserve">84 m — corner lot, dual street access potential</t>
  </si>
  <si>
    <t xml:space="preserve">Zone</t>
  </si>
  <si>
    <t xml:space="preserve">LDR — Low Density Residential (BCC City Plan 2014)</t>
  </si>
  <si>
    <t xml:space="preserve">TBCO</t>
  </si>
  <si>
    <t xml:space="preserve">NOT within Traditional Building Character Overlay — demolition unrestricted</t>
  </si>
  <si>
    <t xml:space="preserve">Flood / Bushfire</t>
  </si>
  <si>
    <t xml:space="preserve">0/5 — All hazard categories zero (flood, bushfire, heritage, biodiversity)</t>
  </si>
  <si>
    <t xml:space="preserve">Existing Dwelling</t>
  </si>
  <si>
    <t xml:space="preserve">88 m² under roof, built 1975 — demolishable, no planning constraint</t>
  </si>
  <si>
    <t xml:space="preserve">QVAS Site Value</t>
  </si>
  <si>
    <t xml:space="preserve">$1,600,000 (Oct 2024, VeryHigh confidence)</t>
  </si>
  <si>
    <t xml:space="preserve">AVM Range</t>
  </si>
  <si>
    <t xml:space="preserve">$1.50m – $2.03m · Mid $1.77m (Low confidence — anomalous large lot)</t>
  </si>
  <si>
    <t xml:space="preserve">Proposed Lot Count</t>
  </si>
  <si>
    <t xml:space="preserve">5 standard lots (~418 m² each)</t>
  </si>
  <si>
    <t xml:space="preserve">Min LDR Lot Size</t>
  </si>
  <si>
    <t xml:space="preserve">400 m² standard / 600 m² rear — all proposed lots compliant</t>
  </si>
  <si>
    <t xml:space="preserve">NOTE: Blue cells are inputs (change to model scenarios). Black cells are formulas. All figures are indicative desktop estimates — verify with licensed surveyor, town planner and QS before commitment.</t>
  </si>
  <si>
    <t xml:space="preserve">ASSUMPTIONS — 4 Russell Avenue, Norman Park  ·  5-Lot Land Subdivision</t>
  </si>
  <si>
    <t xml:space="preserve">Input</t>
  </si>
  <si>
    <t xml:space="preserve">Value</t>
  </si>
  <si>
    <t xml:space="preserve">Source / Note</t>
  </si>
  <si>
    <t xml:space="preserve">  ACQUISITION</t>
  </si>
  <si>
    <t xml:space="preserve">Estimated from QVAS $1.6m site value + dev premium. Verify with licensed valuer.</t>
  </si>
  <si>
    <t xml:space="preserve">Stamp Duty Rate (QLD dev site)</t>
  </si>
  <si>
    <t xml:space="preserve">QLD transfer duty — general rate on $4.25m. Confirm with solicitor.</t>
  </si>
  <si>
    <t xml:space="preserve">Stamp Duty ($)</t>
  </si>
  <si>
    <t xml:space="preserve">Calculated from purchase price × rate.</t>
  </si>
  <si>
    <t xml:space="preserve">Legal / Due Diligence</t>
  </si>
  <si>
    <t xml:space="preserve">Solicitor, title search, property searches, contract review.</t>
  </si>
  <si>
    <t xml:space="preserve">  SITE</t>
  </si>
  <si>
    <t xml:space="preserve">Total Land Area (m²)</t>
  </si>
  <si>
    <t xml:space="preserve">Stash Property / RPD data.</t>
  </si>
  <si>
    <t xml:space="preserve">Number of Proposed Lots</t>
  </si>
  <si>
    <t xml:space="preserve">LDR min 400m² — 2091 ÷ 5 = 418m² avg.</t>
  </si>
  <si>
    <t xml:space="preserve">Average Lot Size (m²)</t>
  </si>
  <si>
    <t xml:space="preserve">Formula: total area ÷ lot count.</t>
  </si>
  <si>
    <t xml:space="preserve">Frontage (m)</t>
  </si>
  <si>
    <t xml:space="preserve">Stash Property / title search.</t>
  </si>
  <si>
    <t xml:space="preserve">  LAND RATE ASSUMPTIONS ($/m²)</t>
  </si>
  <si>
    <t xml:space="preserve">Land Rate — Low ($/m²)</t>
  </si>
  <si>
    <t xml:space="preserve">Norman Park avenue lots, conservative. Source: 10 Pattison Ave NP Jun-25 $1.95/m².</t>
  </si>
  <si>
    <t xml:space="preserve">Land Rate — Mid ($/m²)</t>
  </si>
  <si>
    <t xml:space="preserve">Blended NP/Seven Hills/Camp Hill recent sales. See Comps sheet.</t>
  </si>
  <si>
    <t xml:space="preserve">Land Rate — High ($/m²)</t>
  </si>
  <si>
    <t xml:space="preserve">Premium auction results. 48 McIlwraith NP Jun-25 $3,481/m².</t>
  </si>
  <si>
    <t xml:space="preserve">Corner Lot Premium (Lot 1)</t>
  </si>
  <si>
    <t xml:space="preserve">Estimated 8–15% corner premium over mid-block lots.</t>
  </si>
  <si>
    <t xml:space="preserve">  CONSTRUCTION / DEVELOPMENT</t>
  </si>
  <si>
    <t xml:space="preserve">Demolition Cost</t>
  </si>
  <si>
    <t xml:space="preserve">88m² dwelling — standard BNE rate. Add asbestos survey allowance.</t>
  </si>
  <si>
    <t xml:space="preserve">Asbestos Survey &amp; Removal Allowance</t>
  </si>
  <si>
    <t xml:space="preserve">1975 construction — recommend asbestos assessment pre-exchange.</t>
  </si>
  <si>
    <t xml:space="preserve">Surveying &amp; Scheme Plan</t>
  </si>
  <si>
    <t xml:space="preserve">Licensed surveyor — lot geometry, scheme plan, survey plan.</t>
  </si>
  <si>
    <t xml:space="preserve">BCC Planning / ROL Application</t>
  </si>
  <si>
    <t xml:space="preserve">Reconfiguration of Lot application, town planner, BCC fees.</t>
  </si>
  <si>
    <t xml:space="preserve">Title Creation (5 lots)</t>
  </si>
  <si>
    <t xml:space="preserve">Titles QLD — 5 × new title creation.</t>
  </si>
  <si>
    <t xml:space="preserve">Legal (subdivision)</t>
  </si>
  <si>
    <t xml:space="preserve">Solicitor — ROL, contract of sale drafting per lot.</t>
  </si>
  <si>
    <t xml:space="preserve">Infrastructure Contributions (4 new lots)</t>
  </si>
  <si>
    <t xml:space="preserve">~$45k/new lot × 4 (existing lot may be exempt). Confirm with BCC.</t>
  </si>
  <si>
    <t xml:space="preserve">Site Services / Utilities Connection</t>
  </si>
  <si>
    <t xml:space="preserve">Urban Utilities, Energex connections for new lots. STCA.</t>
  </si>
  <si>
    <t xml:space="preserve">Contingency (5% on dev costs)</t>
  </si>
  <si>
    <t xml:space="preserve">5% contingency on development costs excl. acquisition.</t>
  </si>
  <si>
    <t xml:space="preserve">  FINANCE &amp; HOLDING</t>
  </si>
  <si>
    <t xml:space="preserve">Assumed Hold Period (months)</t>
  </si>
  <si>
    <t xml:space="preserve">Estimated 12–18 months: DA + subdivision + settlement on 5 lots.</t>
  </si>
  <si>
    <t xml:space="preserve">Finance Rate (annual)</t>
  </si>
  <si>
    <t xml:space="preserve">Senior debt on purchase price. Confirm with lender.</t>
  </si>
  <si>
    <t xml:space="preserve">Holding / Interest Cost</t>
  </si>
  <si>
    <t xml:space="preserve">Interest on purchase price over hold period.</t>
  </si>
  <si>
    <t xml:space="preserve">Land Tax Allowance</t>
  </si>
  <si>
    <t xml:space="preserve">QLD land tax on site during hold. Confirm with accountant.</t>
  </si>
  <si>
    <t xml:space="preserve">  SALES &amp; MARKETING</t>
  </si>
  <si>
    <t xml:space="preserve">Agent Commission (% of GDV)</t>
  </si>
  <si>
    <t xml:space="preserve">~2% of GDV across 5 lot sales.</t>
  </si>
  <si>
    <t xml:space="preserve">Marketing &amp; Advertising Budget</t>
  </si>
  <si>
    <t xml:space="preserve">Photography, drone, digital, print per lot allowance.</t>
  </si>
  <si>
    <t xml:space="preserve">Settlement / Conveyancing (vendor side)</t>
  </si>
  <si>
    <t xml:space="preserve">5 × settlements, solicitor, disbursements.</t>
  </si>
  <si>
    <t xml:space="preserve">GROSS DEVELOPMENT VALUE (GDV) — 5-Lot Land Subdivision  ·  Sell as Vacant Lots</t>
  </si>
  <si>
    <t xml:space="preserve">Lot</t>
  </si>
  <si>
    <t xml:space="preserve">Area (m²)</t>
  </si>
  <si>
    <t xml:space="preserve">Land Rate ($/m²)</t>
  </si>
  <si>
    <t xml:space="preserve">Gross Value</t>
  </si>
  <si>
    <t xml:space="preserve">Premium / Adj.</t>
  </si>
  <si>
    <t xml:space="preserve">Notes</t>
  </si>
  <si>
    <t xml:space="preserve">Lot 1 — Corner (Russell Ave)</t>
  </si>
  <si>
    <t xml:space="preserve">Corner premium applied — dual frontage to Russell Ave and side street.</t>
  </si>
  <si>
    <t xml:space="preserve">Lot 2 — Mid-block (Russell Ave)</t>
  </si>
  <si>
    <t xml:space="preserve">Standard mid-block LDR lot fronting Russell Avenue.</t>
  </si>
  <si>
    <t xml:space="preserve">Lot 3 — Mid-block (Russell Ave)</t>
  </si>
  <si>
    <t xml:space="preserve">Lot 4 — Mid-block (Russell Ave)</t>
  </si>
  <si>
    <t xml:space="preserve">Could front side street if corner geometry allows — surveyor to confirm.</t>
  </si>
  <si>
    <t xml:space="preserve">Lot 5 — Corner (side street)</t>
  </si>
  <si>
    <t xml:space="preserve">Rear corner — modest premium vs Lot 1 (less principal street exposure).</t>
  </si>
  <si>
    <t xml:space="preserve">  GROSS DEVELOPMENT VALUE SUMMARY  —  MID / LOW / HIGH</t>
  </si>
  <si>
    <t xml:space="preserve">Metric</t>
  </si>
  <si>
    <t xml:space="preserve">Stretch</t>
  </si>
  <si>
    <t xml:space="preserve">Note</t>
  </si>
  <si>
    <t xml:space="preserve">Total GDV — 5 lots (Mid rate)</t>
  </si>
  <si>
    <t xml:space="preserve">Low = total area × low rate (flat). Mid/High include corner premium.</t>
  </si>
  <si>
    <t xml:space="preserve">Average $/m² (blended)</t>
  </si>
  <si>
    <t xml:space="preserve">Blended $/m² across all 5 lots including corner premiums.</t>
  </si>
  <si>
    <t xml:space="preserve">Average Lot Value</t>
  </si>
  <si>
    <t xml:space="preserve">Average sale price per lot.</t>
  </si>
  <si>
    <t xml:space="preserve">  LAND COMPARABLE SALES — BENCHMARK DATA (source: Stash Property)</t>
  </si>
  <si>
    <t xml:space="preserve">Sold</t>
  </si>
  <si>
    <t xml:space="preserve">Sale Price</t>
  </si>
  <si>
    <t xml:space="preserve">Land (m²)</t>
  </si>
  <si>
    <t xml:space="preserve">$/m²</t>
  </si>
  <si>
    <t xml:space="preserve">48 McIlwraith Ave, Norman Park</t>
  </si>
  <si>
    <t xml:space="preserve">Jun-25</t>
  </si>
  <si>
    <t xml:space="preserve">Avenue address, city views — closest to subject</t>
  </si>
  <si>
    <t xml:space="preserve">10 Pattison Ave, Norman Park</t>
  </si>
  <si>
    <t xml:space="preserve">Larger block — size discount applies</t>
  </si>
  <si>
    <t xml:space="preserve">41 Watson St, Camp Hill</t>
  </si>
  <si>
    <t xml:space="preserve">Jul-25</t>
  </si>
  <si>
    <t xml:space="preserve">Auction — city views, north aspect, premium pocket</t>
  </si>
  <si>
    <t xml:space="preserve">22 Hobart Ave, Camp Hill</t>
  </si>
  <si>
    <t xml:space="preserve">Flat cleared site, 15m frontage</t>
  </si>
  <si>
    <t xml:space="preserve">13 Margaret St, Camp Hill</t>
  </si>
  <si>
    <t xml:space="preserve">Aug-25</t>
  </si>
  <si>
    <t xml:space="preserve">Auction, 15m frontage, premium Camp Hill</t>
  </si>
  <si>
    <t xml:space="preserve">16 Halland Tce, Camp Hill</t>
  </si>
  <si>
    <t xml:space="preserve">North-to-rear, city views, St Thomas precinct</t>
  </si>
  <si>
    <t xml:space="preserve">Isis Cres, Seven Hills (prepd)</t>
  </si>
  <si>
    <t xml:space="preserve">Mar-26</t>
  </si>
  <si>
    <t xml:space="preserve">Groundworks commenced, plans approved</t>
  </si>
  <si>
    <t xml:space="preserve">Adopted blended rate (mid — NP/7Hills)</t>
  </si>
  <si>
    <t xml:space="preserve">PROJECT COSTS — 4 Russell Avenue, Norman Park  ·  Mid / Low / High Scenarios</t>
  </si>
  <si>
    <t xml:space="preserve">Cost Item</t>
  </si>
  <si>
    <t xml:space="preserve">  ACQUISITION COSTS</t>
  </si>
  <si>
    <t xml:space="preserve">Assumed market value — no public sale history</t>
  </si>
  <si>
    <t xml:space="preserve">Stamp Duty</t>
  </si>
  <si>
    <t xml:space="preserve">QLD transfer duty on purchase price</t>
  </si>
  <si>
    <t xml:space="preserve">Legal / DD</t>
  </si>
  <si>
    <t xml:space="preserve">Solicitor, title search, due diligence</t>
  </si>
  <si>
    <t xml:space="preserve">ACQUISITION COSTS — SUBTOTAL</t>
  </si>
  <si>
    <t xml:space="preserve">  DEMOLITION &amp; SITE</t>
  </si>
  <si>
    <t xml:space="preserve">Demolition</t>
  </si>
  <si>
    <t xml:space="preserve">88m² dwelling removal</t>
  </si>
  <si>
    <t xml:space="preserve">Asbestos Survey &amp; Remove</t>
  </si>
  <si>
    <t xml:space="preserve">1975 build — asbestos survey mandatory pre-demo</t>
  </si>
  <si>
    <t xml:space="preserve">DEMOLITION &amp; SITE — SUBTOTAL</t>
  </si>
  <si>
    <t xml:space="preserve">  PLANNING &amp; LEGAL</t>
  </si>
  <si>
    <t xml:space="preserve">Licensed surveyor — lot geometry and survey plan</t>
  </si>
  <si>
    <t xml:space="preserve">BCC Planning / ROL</t>
  </si>
  <si>
    <t xml:space="preserve">ROL application, town planner, BCC fees</t>
  </si>
  <si>
    <t xml:space="preserve">Titles QLD — 5 new title creations</t>
  </si>
  <si>
    <t xml:space="preserve">Solicitor — ROL, vendor contracts x5</t>
  </si>
  <si>
    <t xml:space="preserve">PLANNING &amp; LEGAL — SUBTOTAL</t>
  </si>
  <si>
    <t xml:space="preserve">  INFRASTRUCTURE</t>
  </si>
  <si>
    <t xml:space="preserve">Infra Contributions (BCC/UU)</t>
  </si>
  <si>
    <t xml:space="preserve">~$45k per new lot × 4 new lots. Confirm with BCC.</t>
  </si>
  <si>
    <t xml:space="preserve">Site Services / Utilities</t>
  </si>
  <si>
    <t xml:space="preserve">Energex, Urban Utilities connections — indicative</t>
  </si>
  <si>
    <t xml:space="preserve">INFRASTRUCTURE — SUBTOTAL</t>
  </si>
  <si>
    <t xml:space="preserve">  CONTINGENCY</t>
  </si>
  <si>
    <t xml:space="preserve">Development Cost Contingency</t>
  </si>
  <si>
    <t xml:space="preserve">5% on dev costs. Low: 3.5%, High: 6.5%</t>
  </si>
  <si>
    <t xml:space="preserve">CONTINGENCY — SUBTOTAL</t>
  </si>
  <si>
    <t xml:space="preserve">Interest / Holding Cost</t>
  </si>
  <si>
    <t xml:space="preserve">18-month hold mid, 14 low, 22 high</t>
  </si>
  <si>
    <t xml:space="preserve">QLD land tax during hold — confirm with accountant</t>
  </si>
  <si>
    <t xml:space="preserve">FINANCE &amp; HOLDING — SUBTOTAL</t>
  </si>
  <si>
    <t xml:space="preserve">Agent Commission</t>
  </si>
  <si>
    <t xml:space="preserve">~2% of GDV</t>
  </si>
  <si>
    <t xml:space="preserve">Marketing &amp; Advertising</t>
  </si>
  <si>
    <t xml:space="preserve">Professional photography, digital, print × 5 lots</t>
  </si>
  <si>
    <t xml:space="preserve">Conveyancing (vendor)</t>
  </si>
  <si>
    <t xml:space="preserve">5 × settlements, solicitor disbursements</t>
  </si>
  <si>
    <t xml:space="preserve">SALES &amp; MARKETING — SUBTOTAL</t>
  </si>
  <si>
    <t xml:space="preserve">TOTAL PROJECT COSTS (excl. tax)</t>
  </si>
  <si>
    <t xml:space="preserve">SENSITIVITY ANALYSIS — Net Profit ($) by Purchase Price × Land Rate ($/m²)</t>
  </si>
  <si>
    <t xml:space="preserve">Purchase Price  ↓  /  Land Rate →</t>
  </si>
  <si>
    <t xml:space="preserve">NOTE: Assumes mid-case development costs, 18-month hold, 6.5% finance rate, 5.25% stamp duty. Change Assumptions sheet inputs to model alternative scenarios. Positive = profitable; negative = loss.</t>
  </si>
  <si>
    <t xml:space="preserve">SENSITIVITY — Margin on Cost (%) by Purchase Price × Land Rate ($/m²)</t>
  </si>
  <si>
    <t xml:space="preserve">LOT SCHEDULE &amp; SETTLEMENT TRACKER — 4 Russell Avenue, Norman Park</t>
  </si>
  <si>
    <t xml:space="preserve">Lot #</t>
  </si>
  <si>
    <t xml:space="preserve">Description</t>
  </si>
  <si>
    <t xml:space="preserve">List Price</t>
  </si>
  <si>
    <t xml:space="preserve">Settled?</t>
  </si>
  <si>
    <t xml:space="preserve">Corner — Russell Ave / side street</t>
  </si>
  <si>
    <t xml:space="preserve">No</t>
  </si>
  <si>
    <t xml:space="preserve">Corner premium. Dual frontage. Stash link: TBC after title creation.</t>
  </si>
  <si>
    <t xml:space="preserve">Mid-block — Russell Ave</t>
  </si>
  <si>
    <t xml:space="preserve">Standard LDR lot. Mid-block position.</t>
  </si>
  <si>
    <t xml:space="preserve">Mid-block — Russell Ave / side</t>
  </si>
  <si>
    <t xml:space="preserve">Could front side street — surveyor to confirm.</t>
  </si>
  <si>
    <t xml:space="preserve">Rear corner — side street</t>
  </si>
  <si>
    <t xml:space="preserve">Rear corner. Modest premium vs Lot 1.</t>
  </si>
  <si>
    <t xml:space="preserve">  PROJECT MILESTONES &amp; TIMELINE</t>
  </si>
  <si>
    <t xml:space="preserve">#</t>
  </si>
  <si>
    <t xml:space="preserve">Milestone</t>
  </si>
  <si>
    <t xml:space="preserve">Target Date</t>
  </si>
  <si>
    <t xml:space="preserve">Responsible</t>
  </si>
  <si>
    <t xml:space="preserve">Status</t>
  </si>
  <si>
    <t xml:space="preserve">1</t>
  </si>
  <si>
    <t xml:space="preserve">Title search — confirm 5 RPD status</t>
  </si>
  <si>
    <t xml:space="preserve">Week 1</t>
  </si>
  <si>
    <t xml:space="preserve">Solicitor</t>
  </si>
  <si>
    <t xml:space="preserve">Pending</t>
  </si>
  <si>
    <t xml:space="preserve">2</t>
  </si>
  <si>
    <t xml:space="preserve">Pre-application meeting with BCC</t>
  </si>
  <si>
    <t xml:space="preserve">Week 2</t>
  </si>
  <si>
    <t xml:space="preserve">Town Planner</t>
  </si>
  <si>
    <t xml:space="preserve">3</t>
  </si>
  <si>
    <t xml:space="preserve">Independent certified valuation</t>
  </si>
  <si>
    <t xml:space="preserve">API Valuer</t>
  </si>
  <si>
    <t xml:space="preserve">4</t>
  </si>
  <si>
    <t xml:space="preserve">Surveyor engaged — scheme plan</t>
  </si>
  <si>
    <t xml:space="preserve">Week 3</t>
  </si>
  <si>
    <t xml:space="preserve">Lic. Surveyor</t>
  </si>
  <si>
    <t xml:space="preserve">5</t>
  </si>
  <si>
    <t xml:space="preserve">Exchange of contracts</t>
  </si>
  <si>
    <t xml:space="preserve">TBC</t>
  </si>
  <si>
    <t xml:space="preserve">6</t>
  </si>
  <si>
    <t xml:space="preserve">Settlement</t>
  </si>
  <si>
    <t xml:space="preserve">7</t>
  </si>
  <si>
    <t xml:space="preserve">Asbestos assessment</t>
  </si>
  <si>
    <t xml:space="preserve">Post-settlement</t>
  </si>
  <si>
    <t xml:space="preserve">Asbestos Assessor</t>
  </si>
  <si>
    <t xml:space="preserve">8</t>
  </si>
  <si>
    <t xml:space="preserve">Demolition of existing dwelling</t>
  </si>
  <si>
    <t xml:space="preserve">Demolition Co.</t>
  </si>
  <si>
    <t xml:space="preserve">9</t>
  </si>
  <si>
    <t xml:space="preserve">ROL / reconfiguration lodgement</t>
  </si>
  <si>
    <t xml:space="preserve">Month 2–3</t>
  </si>
  <si>
    <t xml:space="preserve">10</t>
  </si>
  <si>
    <t xml:space="preserve">BCC approval of ROL</t>
  </si>
  <si>
    <t xml:space="preserve">Month 4–6</t>
  </si>
  <si>
    <t xml:space="preserve">BCC</t>
  </si>
  <si>
    <t xml:space="preserve">11</t>
  </si>
  <si>
    <t xml:space="preserve">Survey plan sealed</t>
  </si>
  <si>
    <t xml:space="preserve">Month 6–7</t>
  </si>
  <si>
    <t xml:space="preserve">12</t>
  </si>
  <si>
    <t xml:space="preserve">New titles issued</t>
  </si>
  <si>
    <t xml:space="preserve">Month 7–8</t>
  </si>
  <si>
    <t xml:space="preserve">Titles QLD</t>
  </si>
  <si>
    <t xml:space="preserve">13</t>
  </si>
  <si>
    <t xml:space="preserve">Marketing launch — 5 lots</t>
  </si>
  <si>
    <t xml:space="preserve">Month 8</t>
  </si>
  <si>
    <t xml:space="preserve">Agent</t>
  </si>
  <si>
    <t xml:space="preserve">14</t>
  </si>
  <si>
    <t xml:space="preserve">All lots settled</t>
  </si>
  <si>
    <t xml:space="preserve">Month 12–18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</si>
</sst>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&quot;($&quot;#,##0\);\-"/>
    <numFmt numFmtId="166" formatCode="0.0%;\(0.0%\);\-"/>
    <numFmt numFmtId="167" formatCode="#,##0"/>
    <numFmt numFmtId="168" formatCode="@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A3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A3A4A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A8C7C"/>
        <bgColor rgb="FF008080"/>
      </patternFill>
    </fill>
    <fill>
      <patternFill patternType="solid">
        <fgColor rgb="FF42BCA4"/>
        <bgColor rgb="FF2A8C7C"/>
      </patternFill>
    </fill>
    <fill>
      <patternFill patternType="solid">
        <fgColor rgb="FFD6F5EF"/>
        <bgColor rgb="FFCCFFFF"/>
      </patternFill>
    </fill>
    <fill>
      <patternFill patternType="solid">
        <fgColor rgb="FF1A3A4A"/>
        <bgColor rgb="FF003366"/>
      </patternFill>
    </fill>
    <fill>
      <patternFill patternType="solid">
        <fgColor rgb="FFF5F5F5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D6F5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2BCA4"/>
      <rgbColor rgb="FF99CC00"/>
      <rgbColor rgb="FFFFCC00"/>
      <rgbColor rgb="FFFF9900"/>
      <rgbColor rgb="FFFF6600"/>
      <rgbColor rgb="FF555555"/>
      <rgbColor rgb="FF969696"/>
      <rgbColor rgb="FF003366"/>
      <rgbColor rgb="FF2A8C7C"/>
      <rgbColor rgb="FF003300"/>
      <rgbColor rgb="FF333300"/>
      <rgbColor rgb="FF993300"/>
      <rgbColor rgb="FF993366"/>
      <rgbColor rgb="FF333399"/>
      <rgbColor rgb="FF1A3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5" min="2" style="1" width="18"/>
    <col collapsed="false" customWidth="true" hidden="false" outlineLevel="0" max="6" min="6" style="1" width="2"/>
    <col collapsed="false" customWidth="true" hidden="false" outlineLevel="0" max="7" min="7" style="1" width="26"/>
    <col collapsed="false" customWidth="true" hidden="false" outlineLevel="0" max="8" min="8" style="1" width="18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</row>
    <row r="5" customFormat="false" ht="15" hidden="false" customHeight="true" outlineLevel="0" collapsed="false">
      <c r="A5" s="5" t="s">
        <v>3</v>
      </c>
      <c r="B5" s="6" t="n">
        <f aca="false">Assumptions!B4</f>
        <v>4250000</v>
      </c>
      <c r="C5" s="7"/>
      <c r="D5" s="7"/>
      <c r="E5" s="7"/>
    </row>
    <row r="6" customFormat="false" ht="15" hidden="false" customHeight="true" outlineLevel="0" collapsed="false">
      <c r="A6" s="5" t="s">
        <v>4</v>
      </c>
      <c r="B6" s="6" t="n">
        <f aca="false">GDV!B11</f>
        <v>6423600</v>
      </c>
      <c r="C6" s="7"/>
      <c r="D6" s="7"/>
      <c r="E6" s="7"/>
    </row>
    <row r="7" customFormat="false" ht="15" hidden="false" customHeight="true" outlineLevel="0" collapsed="false">
      <c r="A7" s="5" t="s">
        <v>5</v>
      </c>
      <c r="B7" s="6" t="n">
        <f aca="false">Costs!B35</f>
        <v>5504222</v>
      </c>
      <c r="C7" s="7"/>
      <c r="D7" s="7"/>
      <c r="E7" s="7"/>
    </row>
    <row r="8" customFormat="false" ht="15" hidden="false" customHeight="true" outlineLevel="0" collapsed="false">
      <c r="A8" s="5" t="s">
        <v>6</v>
      </c>
      <c r="B8" s="6" t="n">
        <f aca="false">GDV!B11-Costs!B35</f>
        <v>919378</v>
      </c>
      <c r="C8" s="7"/>
      <c r="D8" s="7"/>
      <c r="E8" s="7"/>
    </row>
    <row r="9" customFormat="false" ht="15" hidden="false" customHeight="true" outlineLevel="0" collapsed="false">
      <c r="A9" s="5" t="s">
        <v>7</v>
      </c>
      <c r="B9" s="8" t="n">
        <f aca="false">IF(Costs!B35=0,0,(GDV!B11-Costs!B35)/Costs!B35)</f>
        <v>0.167031416974097</v>
      </c>
      <c r="C9" s="7"/>
      <c r="D9" s="7"/>
      <c r="E9" s="7"/>
    </row>
    <row r="10" customFormat="false" ht="15" hidden="false" customHeight="true" outlineLevel="0" collapsed="false">
      <c r="A10" s="5" t="s">
        <v>8</v>
      </c>
      <c r="B10" s="8" t="n">
        <f aca="false">IF(GDV!B11=0,0,(GDV!B11-Costs!B35)/GDV!B11)</f>
        <v>0.143125038918986</v>
      </c>
      <c r="C10" s="7"/>
      <c r="D10" s="7"/>
      <c r="E10" s="7"/>
    </row>
    <row r="11" customFormat="false" ht="15" hidden="false" customHeight="true" outlineLevel="0" collapsed="false">
      <c r="A11" s="5" t="s">
        <v>9</v>
      </c>
      <c r="B11" s="8" t="n">
        <f aca="false">IF(Assumptions!B4=0,0,(GDV!B11-Costs!B35)/Assumptions!B4)</f>
        <v>0.216324235294118</v>
      </c>
      <c r="C11" s="7"/>
      <c r="D11" s="7"/>
      <c r="E11" s="7"/>
    </row>
    <row r="12" customFormat="false" ht="15" hidden="false" customHeight="true" outlineLevel="0" collapsed="false">
      <c r="A12" s="5" t="s">
        <v>10</v>
      </c>
      <c r="B12" s="8" t="n">
        <f aca="false">IF(Assumptions!B4=0,0,(1+(GDV!B11-Costs!B35)/Assumptions!B4)^(12/Assumptions!B29)-1)</f>
        <v>0.139461283724246</v>
      </c>
      <c r="C12" s="7"/>
      <c r="D12" s="7"/>
      <c r="E12" s="7"/>
    </row>
    <row r="14" customFormat="false" ht="15" hidden="false" customHeight="true" outlineLevel="0" collapsed="false">
      <c r="A14" s="4" t="s">
        <v>11</v>
      </c>
      <c r="B14" s="4"/>
      <c r="C14" s="4"/>
      <c r="D14" s="4"/>
      <c r="E14" s="4"/>
    </row>
    <row r="15" customFormat="false" ht="15" hidden="false" customHeight="true" outlineLevel="0" collapsed="false">
      <c r="A15" s="9"/>
      <c r="B15" s="10" t="s">
        <v>12</v>
      </c>
      <c r="C15" s="9" t="s">
        <v>13</v>
      </c>
      <c r="D15" s="9" t="s">
        <v>14</v>
      </c>
      <c r="E15" s="9" t="s">
        <v>15</v>
      </c>
    </row>
    <row r="16" customFormat="false" ht="15" hidden="false" customHeight="true" outlineLevel="0" collapsed="false">
      <c r="A16" s="5" t="s">
        <v>16</v>
      </c>
      <c r="B16" s="11" t="n">
        <f aca="false">Assumptions!B4*0.94</f>
        <v>3995000</v>
      </c>
      <c r="C16" s="11" t="n">
        <f aca="false">Assumptions!B4</f>
        <v>4250000</v>
      </c>
      <c r="D16" s="11" t="n">
        <f aca="false">Assumptions!B4*1.06</f>
        <v>4505000</v>
      </c>
      <c r="E16" s="11" t="n">
        <f aca="false">Assumptions!B4*0.88</f>
        <v>3740000</v>
      </c>
    </row>
    <row r="17" customFormat="false" ht="15" hidden="false" customHeight="true" outlineLevel="0" collapsed="false">
      <c r="A17" s="5" t="s">
        <v>17</v>
      </c>
      <c r="B17" s="11" t="n">
        <f aca="false">Assumptions!B14</f>
        <v>2800</v>
      </c>
      <c r="C17" s="11" t="n">
        <f aca="false">Assumptions!B15</f>
        <v>3000</v>
      </c>
      <c r="D17" s="11" t="n">
        <f aca="false">Assumptions!B16</f>
        <v>3200</v>
      </c>
      <c r="E17" s="11" t="n">
        <f aca="false">Assumptions!B16*1.07</f>
        <v>3424</v>
      </c>
    </row>
    <row r="18" customFormat="false" ht="15" hidden="false" customHeight="true" outlineLevel="0" collapsed="false">
      <c r="A18" s="5" t="s">
        <v>18</v>
      </c>
      <c r="B18" s="11" t="n">
        <f aca="false">GDV!C11</f>
        <v>5854800</v>
      </c>
      <c r="C18" s="11" t="n">
        <f aca="false">GDV!B11</f>
        <v>6423600</v>
      </c>
      <c r="D18" s="11" t="n">
        <f aca="false">GDV!D11</f>
        <v>6905318.4</v>
      </c>
      <c r="E18" s="11" t="n">
        <f aca="false">GDV!D11*1.05</f>
        <v>7250584.32</v>
      </c>
    </row>
    <row r="19" customFormat="false" ht="15" hidden="false" customHeight="true" outlineLevel="0" collapsed="false">
      <c r="A19" s="5" t="s">
        <v>19</v>
      </c>
      <c r="B19" s="11" t="n">
        <f aca="false">Costs!C35</f>
        <v>5024603.06666667</v>
      </c>
      <c r="C19" s="11" t="n">
        <f aca="false">Costs!B35</f>
        <v>5504222</v>
      </c>
      <c r="D19" s="11" t="n">
        <f aca="false">Costs!D35</f>
        <v>6015345.01973333</v>
      </c>
      <c r="E19" s="11" t="n">
        <f aca="false">Costs!D35*1.04</f>
        <v>6255958.82052267</v>
      </c>
    </row>
    <row r="20" customFormat="false" ht="15" hidden="false" customHeight="true" outlineLevel="0" collapsed="false">
      <c r="A20" s="5" t="s">
        <v>20</v>
      </c>
      <c r="B20" s="11" t="n">
        <f aca="false">GDV!C11-Costs!C35</f>
        <v>830196.933333333</v>
      </c>
      <c r="C20" s="11" t="n">
        <f aca="false">GDV!B11-Costs!B35</f>
        <v>919378</v>
      </c>
      <c r="D20" s="11" t="n">
        <f aca="false">GDV!D11-Costs!D35</f>
        <v>889973.380266667</v>
      </c>
      <c r="E20" s="11" t="n">
        <f aca="false">GDV!D11*1.05-Costs!D35*1.04</f>
        <v>994625.499477333</v>
      </c>
    </row>
    <row r="21" customFormat="false" ht="15" hidden="false" customHeight="true" outlineLevel="0" collapsed="false">
      <c r="A21" s="5" t="s">
        <v>7</v>
      </c>
      <c r="B21" s="12" t="n">
        <f aca="false">IF(Costs!C35=0,0,(GDV!C11-Costs!C35)/Costs!C35)</f>
        <v>0.165226371579653</v>
      </c>
      <c r="C21" s="12" t="n">
        <f aca="false">IF(Costs!B35=0,0,(GDV!B11-Costs!B35)/Costs!B35)</f>
        <v>0.167031416974097</v>
      </c>
      <c r="D21" s="12" t="n">
        <f aca="false">IF(Costs!D35=0,0,(GDV!D11-Costs!D35)/Costs!D35)</f>
        <v>0.147950512788063</v>
      </c>
      <c r="E21" s="12" t="n">
        <f aca="false">IF(Costs!D35*1.04=0,0,(GDV!D11*1.05-Costs!D35*1.04)/(Costs!D35*1.04))</f>
        <v>0.158988498487948</v>
      </c>
    </row>
    <row r="23" customFormat="false" ht="15" hidden="false" customHeight="true" outlineLevel="0" collapsed="false">
      <c r="A23" s="4" t="s">
        <v>21</v>
      </c>
      <c r="B23" s="4"/>
      <c r="C23" s="4"/>
      <c r="D23" s="4"/>
      <c r="E23" s="4"/>
    </row>
    <row r="24" customFormat="false" ht="13.5" hidden="false" customHeight="true" outlineLevel="0" collapsed="false">
      <c r="A24" s="5" t="s">
        <v>22</v>
      </c>
      <c r="B24" s="13" t="s">
        <v>23</v>
      </c>
      <c r="C24" s="13"/>
      <c r="D24" s="13"/>
      <c r="E24" s="13"/>
    </row>
    <row r="25" customFormat="false" ht="13.5" hidden="false" customHeight="true" outlineLevel="0" collapsed="false">
      <c r="A25" s="5" t="s">
        <v>24</v>
      </c>
      <c r="B25" s="13" t="s">
        <v>25</v>
      </c>
      <c r="C25" s="13"/>
      <c r="D25" s="13"/>
      <c r="E25" s="13"/>
    </row>
    <row r="26" customFormat="false" ht="13.5" hidden="false" customHeight="true" outlineLevel="0" collapsed="false">
      <c r="A26" s="5" t="s">
        <v>26</v>
      </c>
      <c r="B26" s="13" t="s">
        <v>27</v>
      </c>
      <c r="C26" s="13"/>
      <c r="D26" s="13"/>
      <c r="E26" s="13"/>
    </row>
    <row r="27" customFormat="false" ht="13.5" hidden="false" customHeight="true" outlineLevel="0" collapsed="false">
      <c r="A27" s="5" t="s">
        <v>28</v>
      </c>
      <c r="B27" s="13" t="s">
        <v>29</v>
      </c>
      <c r="C27" s="13"/>
      <c r="D27" s="13"/>
      <c r="E27" s="13"/>
    </row>
    <row r="28" customFormat="false" ht="13.5" hidden="false" customHeight="true" outlineLevel="0" collapsed="false">
      <c r="A28" s="5" t="s">
        <v>30</v>
      </c>
      <c r="B28" s="13" t="s">
        <v>31</v>
      </c>
      <c r="C28" s="13"/>
      <c r="D28" s="13"/>
      <c r="E28" s="13"/>
    </row>
    <row r="29" customFormat="false" ht="13.5" hidden="false" customHeight="true" outlineLevel="0" collapsed="false">
      <c r="A29" s="5" t="s">
        <v>32</v>
      </c>
      <c r="B29" s="13" t="s">
        <v>33</v>
      </c>
      <c r="C29" s="13"/>
      <c r="D29" s="13"/>
      <c r="E29" s="13"/>
    </row>
    <row r="30" customFormat="false" ht="13.5" hidden="false" customHeight="true" outlineLevel="0" collapsed="false">
      <c r="A30" s="5" t="s">
        <v>34</v>
      </c>
      <c r="B30" s="13" t="s">
        <v>35</v>
      </c>
      <c r="C30" s="13"/>
      <c r="D30" s="13"/>
      <c r="E30" s="13"/>
    </row>
    <row r="31" customFormat="false" ht="13.5" hidden="false" customHeight="true" outlineLevel="0" collapsed="false">
      <c r="A31" s="5" t="s">
        <v>36</v>
      </c>
      <c r="B31" s="13" t="s">
        <v>37</v>
      </c>
      <c r="C31" s="13"/>
      <c r="D31" s="13"/>
      <c r="E31" s="13"/>
    </row>
    <row r="32" customFormat="false" ht="13.5" hidden="false" customHeight="true" outlineLevel="0" collapsed="false">
      <c r="A32" s="5" t="s">
        <v>38</v>
      </c>
      <c r="B32" s="13" t="s">
        <v>39</v>
      </c>
      <c r="C32" s="13"/>
      <c r="D32" s="13"/>
      <c r="E32" s="13"/>
    </row>
    <row r="33" customFormat="false" ht="13.5" hidden="false" customHeight="true" outlineLevel="0" collapsed="false">
      <c r="A33" s="5" t="s">
        <v>40</v>
      </c>
      <c r="B33" s="13" t="s">
        <v>41</v>
      </c>
      <c r="C33" s="13"/>
      <c r="D33" s="13"/>
      <c r="E33" s="13"/>
    </row>
    <row r="34" customFormat="false" ht="13.5" hidden="false" customHeight="true" outlineLevel="0" collapsed="false">
      <c r="A34" s="5" t="s">
        <v>42</v>
      </c>
      <c r="B34" s="13" t="s">
        <v>43</v>
      </c>
      <c r="C34" s="13"/>
      <c r="D34" s="13"/>
      <c r="E34" s="13"/>
    </row>
    <row r="35" customFormat="false" ht="13.5" hidden="false" customHeight="true" outlineLevel="0" collapsed="false">
      <c r="A35" s="5" t="s">
        <v>44</v>
      </c>
      <c r="B35" s="13" t="s">
        <v>45</v>
      </c>
      <c r="C35" s="13"/>
      <c r="D35" s="13"/>
      <c r="E35" s="13"/>
    </row>
    <row r="37" customFormat="false" ht="24" hidden="false" customHeight="true" outlineLevel="0" collapsed="false">
      <c r="A37" s="14" t="s">
        <v>46</v>
      </c>
      <c r="B37" s="14"/>
      <c r="C37" s="14"/>
      <c r="D37" s="14"/>
      <c r="E37" s="14"/>
    </row>
  </sheetData>
  <mergeCells count="18">
    <mergeCell ref="A1:E1"/>
    <mergeCell ref="A2:E2"/>
    <mergeCell ref="A4:E4"/>
    <mergeCell ref="A14:E14"/>
    <mergeCell ref="A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A37:E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20"/>
    <col collapsed="false" customWidth="true" hidden="false" outlineLevel="0" max="3" min="3" style="1" width="40"/>
  </cols>
  <sheetData>
    <row r="1" customFormat="false" ht="24" hidden="false" customHeight="true" outlineLevel="0" collapsed="false">
      <c r="A1" s="15" t="s">
        <v>47</v>
      </c>
      <c r="B1" s="15"/>
      <c r="C1" s="15"/>
    </row>
    <row r="2" customFormat="false" ht="15" hidden="false" customHeight="true" outlineLevel="0" collapsed="false">
      <c r="A2" s="9" t="s">
        <v>48</v>
      </c>
      <c r="B2" s="9" t="s">
        <v>49</v>
      </c>
      <c r="C2" s="9" t="s">
        <v>50</v>
      </c>
    </row>
    <row r="3" customFormat="false" ht="15.75" hidden="false" customHeight="true" outlineLevel="0" collapsed="false">
      <c r="A3" s="16" t="s">
        <v>51</v>
      </c>
      <c r="B3" s="16"/>
      <c r="C3" s="16"/>
    </row>
    <row r="4" customFormat="false" ht="12.75" hidden="false" customHeight="true" outlineLevel="0" collapsed="false">
      <c r="A4" s="17" t="s">
        <v>3</v>
      </c>
      <c r="B4" s="18" t="n">
        <v>4250000</v>
      </c>
      <c r="C4" s="19" t="s">
        <v>52</v>
      </c>
    </row>
    <row r="5" customFormat="false" ht="12.75" hidden="false" customHeight="true" outlineLevel="0" collapsed="false">
      <c r="A5" s="17" t="s">
        <v>53</v>
      </c>
      <c r="B5" s="20" t="n">
        <v>0.0525</v>
      </c>
      <c r="C5" s="19" t="s">
        <v>54</v>
      </c>
    </row>
    <row r="6" customFormat="false" ht="12.75" hidden="false" customHeight="true" outlineLevel="0" collapsed="false">
      <c r="A6" s="17" t="s">
        <v>55</v>
      </c>
      <c r="B6" s="11" t="n">
        <f aca="false">B4*B5</f>
        <v>223125</v>
      </c>
      <c r="C6" s="19" t="s">
        <v>56</v>
      </c>
    </row>
    <row r="7" customFormat="false" ht="12.75" hidden="false" customHeight="true" outlineLevel="0" collapsed="false">
      <c r="A7" s="17" t="s">
        <v>57</v>
      </c>
      <c r="B7" s="18" t="n">
        <v>25000</v>
      </c>
      <c r="C7" s="19" t="s">
        <v>58</v>
      </c>
    </row>
    <row r="8" customFormat="false" ht="15.75" hidden="false" customHeight="true" outlineLevel="0" collapsed="false">
      <c r="A8" s="16" t="s">
        <v>59</v>
      </c>
      <c r="B8" s="16"/>
      <c r="C8" s="16"/>
    </row>
    <row r="9" customFormat="false" ht="12.75" hidden="false" customHeight="true" outlineLevel="0" collapsed="false">
      <c r="A9" s="17" t="s">
        <v>60</v>
      </c>
      <c r="B9" s="21" t="n">
        <v>2091</v>
      </c>
      <c r="C9" s="19" t="s">
        <v>61</v>
      </c>
    </row>
    <row r="10" customFormat="false" ht="12.75" hidden="false" customHeight="true" outlineLevel="0" collapsed="false">
      <c r="A10" s="17" t="s">
        <v>62</v>
      </c>
      <c r="B10" s="21" t="n">
        <v>5</v>
      </c>
      <c r="C10" s="19" t="s">
        <v>63</v>
      </c>
    </row>
    <row r="11" customFormat="false" ht="12.75" hidden="false" customHeight="true" outlineLevel="0" collapsed="false">
      <c r="A11" s="17" t="s">
        <v>64</v>
      </c>
      <c r="B11" s="22" t="n">
        <f aca="false">B9/B10</f>
        <v>418.2</v>
      </c>
      <c r="C11" s="19" t="s">
        <v>65</v>
      </c>
    </row>
    <row r="12" customFormat="false" ht="12.75" hidden="false" customHeight="true" outlineLevel="0" collapsed="false">
      <c r="A12" s="17" t="s">
        <v>66</v>
      </c>
      <c r="B12" s="21" t="n">
        <v>84</v>
      </c>
      <c r="C12" s="19" t="s">
        <v>67</v>
      </c>
    </row>
    <row r="13" customFormat="false" ht="15.75" hidden="false" customHeight="true" outlineLevel="0" collapsed="false">
      <c r="A13" s="16" t="s">
        <v>68</v>
      </c>
      <c r="B13" s="16"/>
      <c r="C13" s="16"/>
    </row>
    <row r="14" customFormat="false" ht="12.75" hidden="false" customHeight="true" outlineLevel="0" collapsed="false">
      <c r="A14" s="17" t="s">
        <v>69</v>
      </c>
      <c r="B14" s="18" t="n">
        <v>2800</v>
      </c>
      <c r="C14" s="19" t="s">
        <v>70</v>
      </c>
    </row>
    <row r="15" customFormat="false" ht="12.75" hidden="false" customHeight="true" outlineLevel="0" collapsed="false">
      <c r="A15" s="17" t="s">
        <v>71</v>
      </c>
      <c r="B15" s="18" t="n">
        <v>3000</v>
      </c>
      <c r="C15" s="19" t="s">
        <v>72</v>
      </c>
    </row>
    <row r="16" customFormat="false" ht="12.75" hidden="false" customHeight="true" outlineLevel="0" collapsed="false">
      <c r="A16" s="17" t="s">
        <v>73</v>
      </c>
      <c r="B16" s="18" t="n">
        <v>3200</v>
      </c>
      <c r="C16" s="19" t="s">
        <v>74</v>
      </c>
    </row>
    <row r="17" customFormat="false" ht="12.75" hidden="false" customHeight="true" outlineLevel="0" collapsed="false">
      <c r="A17" s="17" t="s">
        <v>75</v>
      </c>
      <c r="B17" s="20" t="n">
        <v>0.08</v>
      </c>
      <c r="C17" s="19" t="s">
        <v>76</v>
      </c>
    </row>
    <row r="18" customFormat="false" ht="15.75" hidden="false" customHeight="true" outlineLevel="0" collapsed="false">
      <c r="A18" s="16" t="s">
        <v>77</v>
      </c>
      <c r="B18" s="16"/>
      <c r="C18" s="16"/>
    </row>
    <row r="19" customFormat="false" ht="12.75" hidden="false" customHeight="true" outlineLevel="0" collapsed="false">
      <c r="A19" s="17" t="s">
        <v>78</v>
      </c>
      <c r="B19" s="18" t="n">
        <v>40000</v>
      </c>
      <c r="C19" s="19" t="s">
        <v>79</v>
      </c>
    </row>
    <row r="20" customFormat="false" ht="12.75" hidden="false" customHeight="true" outlineLevel="0" collapsed="false">
      <c r="A20" s="17" t="s">
        <v>80</v>
      </c>
      <c r="B20" s="18" t="n">
        <v>15000</v>
      </c>
      <c r="C20" s="19" t="s">
        <v>81</v>
      </c>
    </row>
    <row r="21" customFormat="false" ht="12.75" hidden="false" customHeight="true" outlineLevel="0" collapsed="false">
      <c r="A21" s="17" t="s">
        <v>82</v>
      </c>
      <c r="B21" s="18" t="n">
        <v>25000</v>
      </c>
      <c r="C21" s="19" t="s">
        <v>83</v>
      </c>
    </row>
    <row r="22" customFormat="false" ht="12.75" hidden="false" customHeight="true" outlineLevel="0" collapsed="false">
      <c r="A22" s="17" t="s">
        <v>84</v>
      </c>
      <c r="B22" s="18" t="n">
        <v>35000</v>
      </c>
      <c r="C22" s="19" t="s">
        <v>85</v>
      </c>
    </row>
    <row r="23" customFormat="false" ht="12.75" hidden="false" customHeight="true" outlineLevel="0" collapsed="false">
      <c r="A23" s="17" t="s">
        <v>86</v>
      </c>
      <c r="B23" s="18" t="n">
        <v>15000</v>
      </c>
      <c r="C23" s="19" t="s">
        <v>87</v>
      </c>
    </row>
    <row r="24" customFormat="false" ht="12.75" hidden="false" customHeight="true" outlineLevel="0" collapsed="false">
      <c r="A24" s="17" t="s">
        <v>88</v>
      </c>
      <c r="B24" s="18" t="n">
        <v>25000</v>
      </c>
      <c r="C24" s="19" t="s">
        <v>89</v>
      </c>
    </row>
    <row r="25" customFormat="false" ht="12.75" hidden="false" customHeight="true" outlineLevel="0" collapsed="false">
      <c r="A25" s="17" t="s">
        <v>90</v>
      </c>
      <c r="B25" s="18" t="n">
        <v>180000</v>
      </c>
      <c r="C25" s="19" t="s">
        <v>91</v>
      </c>
    </row>
    <row r="26" customFormat="false" ht="12.75" hidden="false" customHeight="true" outlineLevel="0" collapsed="false">
      <c r="A26" s="17" t="s">
        <v>92</v>
      </c>
      <c r="B26" s="18" t="n">
        <v>30000</v>
      </c>
      <c r="C26" s="19" t="s">
        <v>93</v>
      </c>
    </row>
    <row r="27" customFormat="false" ht="12.75" hidden="false" customHeight="true" outlineLevel="0" collapsed="false">
      <c r="A27" s="17" t="s">
        <v>94</v>
      </c>
      <c r="B27" s="11" t="n">
        <f aca="false">SUM(B19:B26)*0.05</f>
        <v>18250</v>
      </c>
      <c r="C27" s="19" t="s">
        <v>95</v>
      </c>
    </row>
    <row r="28" customFormat="false" ht="15.75" hidden="false" customHeight="true" outlineLevel="0" collapsed="false">
      <c r="A28" s="16" t="s">
        <v>96</v>
      </c>
      <c r="B28" s="16"/>
      <c r="C28" s="16"/>
    </row>
    <row r="29" customFormat="false" ht="12.75" hidden="false" customHeight="true" outlineLevel="0" collapsed="false">
      <c r="A29" s="17" t="s">
        <v>97</v>
      </c>
      <c r="B29" s="21" t="n">
        <v>18</v>
      </c>
      <c r="C29" s="19" t="s">
        <v>98</v>
      </c>
    </row>
    <row r="30" customFormat="false" ht="12.75" hidden="false" customHeight="true" outlineLevel="0" collapsed="false">
      <c r="A30" s="17" t="s">
        <v>99</v>
      </c>
      <c r="B30" s="20" t="n">
        <v>0.065</v>
      </c>
      <c r="C30" s="19" t="s">
        <v>100</v>
      </c>
    </row>
    <row r="31" customFormat="false" ht="12.75" hidden="false" customHeight="true" outlineLevel="0" collapsed="false">
      <c r="A31" s="17" t="s">
        <v>101</v>
      </c>
      <c r="B31" s="11" t="n">
        <f aca="false">B4*(B30/12)*B29</f>
        <v>414375</v>
      </c>
      <c r="C31" s="19" t="s">
        <v>102</v>
      </c>
    </row>
    <row r="32" customFormat="false" ht="12.75" hidden="false" customHeight="true" outlineLevel="0" collapsed="false">
      <c r="A32" s="17" t="s">
        <v>103</v>
      </c>
      <c r="B32" s="18" t="n">
        <v>20000</v>
      </c>
      <c r="C32" s="19" t="s">
        <v>104</v>
      </c>
    </row>
    <row r="33" customFormat="false" ht="15.75" hidden="false" customHeight="true" outlineLevel="0" collapsed="false">
      <c r="A33" s="16" t="s">
        <v>105</v>
      </c>
      <c r="B33" s="16"/>
      <c r="C33" s="16"/>
    </row>
    <row r="34" customFormat="false" ht="12.75" hidden="false" customHeight="true" outlineLevel="0" collapsed="false">
      <c r="A34" s="17" t="s">
        <v>106</v>
      </c>
      <c r="B34" s="20" t="n">
        <v>0.02</v>
      </c>
      <c r="C34" s="19" t="s">
        <v>107</v>
      </c>
    </row>
    <row r="35" customFormat="false" ht="12.75" hidden="false" customHeight="true" outlineLevel="0" collapsed="false">
      <c r="A35" s="17" t="s">
        <v>108</v>
      </c>
      <c r="B35" s="18" t="n">
        <v>50000</v>
      </c>
      <c r="C35" s="19" t="s">
        <v>109</v>
      </c>
    </row>
    <row r="36" customFormat="false" ht="12.75" hidden="false" customHeight="true" outlineLevel="0" collapsed="false">
      <c r="A36" s="17" t="s">
        <v>110</v>
      </c>
      <c r="B36" s="18" t="n">
        <v>10000</v>
      </c>
      <c r="C36" s="19" t="s">
        <v>111</v>
      </c>
    </row>
  </sheetData>
  <mergeCells count="7">
    <mergeCell ref="A1:C1"/>
    <mergeCell ref="A3:C3"/>
    <mergeCell ref="A8:C8"/>
    <mergeCell ref="A13:C13"/>
    <mergeCell ref="A18:C18"/>
    <mergeCell ref="A28:C28"/>
    <mergeCell ref="A33:C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4" min="2" style="1" width="18"/>
    <col collapsed="false" customWidth="true" hidden="false" outlineLevel="0" max="5" min="5" style="1" width="22"/>
    <col collapsed="false" customWidth="true" hidden="false" outlineLevel="0" max="6" min="6" style="1" width="30"/>
  </cols>
  <sheetData>
    <row r="1" customFormat="false" ht="24" hidden="false" customHeight="true" outlineLevel="0" collapsed="false">
      <c r="A1" s="15" t="s">
        <v>112</v>
      </c>
      <c r="B1" s="15"/>
      <c r="C1" s="15"/>
      <c r="D1" s="15"/>
      <c r="E1" s="15"/>
      <c r="F1" s="15"/>
    </row>
    <row r="2" customFormat="false" ht="15" hidden="false" customHeight="true" outlineLevel="0" collapsed="false">
      <c r="A2" s="9" t="s">
        <v>113</v>
      </c>
      <c r="B2" s="9" t="s">
        <v>114</v>
      </c>
      <c r="C2" s="9" t="s">
        <v>115</v>
      </c>
      <c r="D2" s="9" t="s">
        <v>116</v>
      </c>
      <c r="E2" s="9" t="s">
        <v>117</v>
      </c>
      <c r="F2" s="9" t="s">
        <v>118</v>
      </c>
    </row>
    <row r="3" customFormat="false" ht="12.75" hidden="false" customHeight="true" outlineLevel="0" collapsed="false">
      <c r="A3" s="5" t="s">
        <v>119</v>
      </c>
      <c r="B3" s="21" t="n">
        <v>418</v>
      </c>
      <c r="C3" s="11" t="n">
        <f aca="false">Assumptions!B15*(1+Assumptions!B17)</f>
        <v>3240</v>
      </c>
      <c r="D3" s="11" t="n">
        <f aca="false">B3*C3</f>
        <v>1354320</v>
      </c>
      <c r="E3" s="12" t="n">
        <f aca="false">Assumptions!B14</f>
        <v>2800</v>
      </c>
      <c r="F3" s="19" t="s">
        <v>120</v>
      </c>
    </row>
    <row r="4" customFormat="false" ht="12.75" hidden="false" customHeight="true" outlineLevel="0" collapsed="false">
      <c r="A4" s="5" t="s">
        <v>121</v>
      </c>
      <c r="B4" s="21" t="n">
        <v>418</v>
      </c>
      <c r="C4" s="11" t="n">
        <f aca="false">Assumptions!B15</f>
        <v>3000</v>
      </c>
      <c r="D4" s="11" t="n">
        <f aca="false">B4*C4</f>
        <v>1254000</v>
      </c>
      <c r="E4" s="20" t="n">
        <v>0</v>
      </c>
      <c r="F4" s="19" t="s">
        <v>122</v>
      </c>
    </row>
    <row r="5" customFormat="false" ht="12.75" hidden="false" customHeight="true" outlineLevel="0" collapsed="false">
      <c r="A5" s="5" t="s">
        <v>123</v>
      </c>
      <c r="B5" s="21" t="n">
        <v>418</v>
      </c>
      <c r="C5" s="11" t="n">
        <f aca="false">Assumptions!B15</f>
        <v>3000</v>
      </c>
      <c r="D5" s="11" t="n">
        <f aca="false">B5*C5</f>
        <v>1254000</v>
      </c>
      <c r="E5" s="20" t="n">
        <v>0</v>
      </c>
      <c r="F5" s="19" t="s">
        <v>122</v>
      </c>
    </row>
    <row r="6" customFormat="false" ht="12.75" hidden="false" customHeight="true" outlineLevel="0" collapsed="false">
      <c r="A6" s="5" t="s">
        <v>124</v>
      </c>
      <c r="B6" s="21" t="n">
        <v>418</v>
      </c>
      <c r="C6" s="11" t="n">
        <f aca="false">Assumptions!B15</f>
        <v>3000</v>
      </c>
      <c r="D6" s="11" t="n">
        <f aca="false">B6*C6</f>
        <v>1254000</v>
      </c>
      <c r="E6" s="20" t="n">
        <v>0</v>
      </c>
      <c r="F6" s="19" t="s">
        <v>125</v>
      </c>
    </row>
    <row r="7" customFormat="false" ht="12.75" hidden="false" customHeight="true" outlineLevel="0" collapsed="false">
      <c r="A7" s="5" t="s">
        <v>126</v>
      </c>
      <c r="B7" s="21" t="n">
        <v>419</v>
      </c>
      <c r="C7" s="11" t="n">
        <f aca="false">Assumptions!B15*(1+Assumptions!B17*0.5)</f>
        <v>3120</v>
      </c>
      <c r="D7" s="11" t="n">
        <f aca="false">B7*C7</f>
        <v>1307280</v>
      </c>
      <c r="E7" s="12" t="n">
        <f aca="false">Assumptions!B14*0.5</f>
        <v>1400</v>
      </c>
      <c r="F7" s="19" t="s">
        <v>127</v>
      </c>
    </row>
    <row r="9" customFormat="false" ht="15" hidden="false" customHeight="true" outlineLevel="0" collapsed="false">
      <c r="A9" s="4" t="s">
        <v>128</v>
      </c>
      <c r="B9" s="4"/>
      <c r="C9" s="4"/>
      <c r="D9" s="4"/>
      <c r="E9" s="4"/>
      <c r="F9" s="4"/>
    </row>
    <row r="10" customFormat="false" ht="15" hidden="false" customHeight="true" outlineLevel="0" collapsed="false">
      <c r="A10" s="9" t="s">
        <v>129</v>
      </c>
      <c r="B10" s="9" t="s">
        <v>13</v>
      </c>
      <c r="C10" s="9" t="s">
        <v>12</v>
      </c>
      <c r="D10" s="9" t="s">
        <v>14</v>
      </c>
      <c r="E10" s="9" t="s">
        <v>130</v>
      </c>
      <c r="F10" s="9" t="s">
        <v>131</v>
      </c>
    </row>
    <row r="11" customFormat="false" ht="21.75" hidden="false" customHeight="true" outlineLevel="0" collapsed="false">
      <c r="A11" s="5" t="s">
        <v>132</v>
      </c>
      <c r="B11" s="6" t="n">
        <f aca="false">D3+D4+D5+D6+D7</f>
        <v>6423600</v>
      </c>
      <c r="C11" s="11" t="n">
        <f aca="false">Assumptions!B9*Assumptions!B14</f>
        <v>5854800</v>
      </c>
      <c r="D11" s="11" t="n">
        <f aca="false">Assumptions!B9*Assumptions!B16*(1+Assumptions!B17*0.4)</f>
        <v>6905318.4</v>
      </c>
      <c r="E11" s="11" t="n">
        <f aca="false">Assumptions!B9*Assumptions!B16*(1+Assumptions!B17)</f>
        <v>7226496</v>
      </c>
      <c r="F11" s="19" t="s">
        <v>133</v>
      </c>
    </row>
    <row r="12" customFormat="false" ht="21.75" hidden="false" customHeight="true" outlineLevel="0" collapsed="false">
      <c r="A12" s="5" t="s">
        <v>134</v>
      </c>
      <c r="B12" s="11" t="n">
        <f aca="false">IF(Assumptions!B9=0,0,B11/Assumptions!B9)</f>
        <v>3072.02295552367</v>
      </c>
      <c r="C12" s="11" t="n">
        <f aca="false">IF(Assumptions!B9=0,0,C11/Assumptions!B9)</f>
        <v>2800</v>
      </c>
      <c r="D12" s="11" t="n">
        <f aca="false">IF(Assumptions!B9=0,0,D11/Assumptions!B9)</f>
        <v>3302.4</v>
      </c>
      <c r="E12" s="11" t="n">
        <f aca="false">IF(Assumptions!B9=0,0,E11/Assumptions!B9)</f>
        <v>3456</v>
      </c>
      <c r="F12" s="19" t="s">
        <v>135</v>
      </c>
    </row>
    <row r="13" customFormat="false" ht="15" hidden="false" customHeight="true" outlineLevel="0" collapsed="false">
      <c r="A13" s="5" t="s">
        <v>136</v>
      </c>
      <c r="B13" s="11" t="n">
        <f aca="false">IF(Assumptions!B10=0,0,B11/Assumptions!B10)</f>
        <v>1284720</v>
      </c>
      <c r="C13" s="11" t="n">
        <f aca="false">IF(Assumptions!B10=0,0,C11/Assumptions!B10)</f>
        <v>1170960</v>
      </c>
      <c r="D13" s="11" t="n">
        <f aca="false">IF(Assumptions!B10=0,0,D11/Assumptions!B10)</f>
        <v>1381063.68</v>
      </c>
      <c r="E13" s="11" t="n">
        <f aca="false">IF(Assumptions!B10=0,0,E11/Assumptions!B10)</f>
        <v>1445299.2</v>
      </c>
      <c r="F13" s="19" t="s">
        <v>137</v>
      </c>
    </row>
    <row r="15" customFormat="false" ht="15" hidden="false" customHeight="true" outlineLevel="0" collapsed="false">
      <c r="A15" s="4" t="s">
        <v>138</v>
      </c>
      <c r="B15" s="4"/>
      <c r="C15" s="4"/>
      <c r="D15" s="4"/>
      <c r="E15" s="4"/>
      <c r="F15" s="4"/>
    </row>
    <row r="16" customFormat="false" ht="15" hidden="false" customHeight="true" outlineLevel="0" collapsed="false">
      <c r="A16" s="9" t="s">
        <v>22</v>
      </c>
      <c r="B16" s="9" t="s">
        <v>139</v>
      </c>
      <c r="C16" s="9" t="s">
        <v>140</v>
      </c>
      <c r="D16" s="9" t="s">
        <v>141</v>
      </c>
      <c r="E16" s="9" t="s">
        <v>142</v>
      </c>
      <c r="F16" s="9" t="s">
        <v>118</v>
      </c>
    </row>
    <row r="17" customFormat="false" ht="12.75" hidden="false" customHeight="true" outlineLevel="0" collapsed="false">
      <c r="A17" s="17" t="s">
        <v>143</v>
      </c>
      <c r="B17" s="23" t="s">
        <v>144</v>
      </c>
      <c r="C17" s="11" t="n">
        <v>1410000</v>
      </c>
      <c r="D17" s="22" t="n">
        <v>405</v>
      </c>
      <c r="E17" s="11" t="n">
        <v>3481</v>
      </c>
      <c r="F17" s="19" t="s">
        <v>145</v>
      </c>
    </row>
    <row r="18" customFormat="false" ht="12.75" hidden="false" customHeight="true" outlineLevel="0" collapsed="false">
      <c r="A18" s="17" t="s">
        <v>146</v>
      </c>
      <c r="B18" s="23" t="s">
        <v>144</v>
      </c>
      <c r="C18" s="11" t="n">
        <v>1250000</v>
      </c>
      <c r="D18" s="22" t="n">
        <v>642</v>
      </c>
      <c r="E18" s="11" t="n">
        <v>1947</v>
      </c>
      <c r="F18" s="19" t="s">
        <v>147</v>
      </c>
    </row>
    <row r="19" customFormat="false" ht="12.75" hidden="false" customHeight="true" outlineLevel="0" collapsed="false">
      <c r="A19" s="17" t="s">
        <v>148</v>
      </c>
      <c r="B19" s="23" t="s">
        <v>149</v>
      </c>
      <c r="C19" s="11" t="n">
        <v>2385000</v>
      </c>
      <c r="D19" s="22" t="n">
        <v>599</v>
      </c>
      <c r="E19" s="11" t="n">
        <v>3981</v>
      </c>
      <c r="F19" s="19" t="s">
        <v>150</v>
      </c>
    </row>
    <row r="20" customFormat="false" ht="12.75" hidden="false" customHeight="true" outlineLevel="0" collapsed="false">
      <c r="A20" s="17" t="s">
        <v>151</v>
      </c>
      <c r="B20" s="23" t="s">
        <v>149</v>
      </c>
      <c r="C20" s="11" t="n">
        <v>1780000</v>
      </c>
      <c r="D20" s="22" t="n">
        <v>607</v>
      </c>
      <c r="E20" s="11" t="n">
        <v>2933</v>
      </c>
      <c r="F20" s="19" t="s">
        <v>152</v>
      </c>
    </row>
    <row r="21" customFormat="false" ht="12.75" hidden="false" customHeight="true" outlineLevel="0" collapsed="false">
      <c r="A21" s="17" t="s">
        <v>153</v>
      </c>
      <c r="B21" s="23" t="s">
        <v>154</v>
      </c>
      <c r="C21" s="11" t="n">
        <v>1885000</v>
      </c>
      <c r="D21" s="22" t="n">
        <v>607</v>
      </c>
      <c r="E21" s="11" t="n">
        <v>3105</v>
      </c>
      <c r="F21" s="19" t="s">
        <v>155</v>
      </c>
    </row>
    <row r="22" customFormat="false" ht="12.75" hidden="false" customHeight="true" outlineLevel="0" collapsed="false">
      <c r="A22" s="17" t="s">
        <v>156</v>
      </c>
      <c r="B22" s="23" t="s">
        <v>149</v>
      </c>
      <c r="C22" s="11" t="n">
        <v>1275000</v>
      </c>
      <c r="D22" s="22" t="n">
        <v>405</v>
      </c>
      <c r="E22" s="11" t="n">
        <v>3148</v>
      </c>
      <c r="F22" s="19" t="s">
        <v>157</v>
      </c>
    </row>
    <row r="23" customFormat="false" ht="12.75" hidden="false" customHeight="true" outlineLevel="0" collapsed="false">
      <c r="A23" s="17" t="s">
        <v>158</v>
      </c>
      <c r="B23" s="23" t="s">
        <v>159</v>
      </c>
      <c r="C23" s="11" t="n">
        <v>1400000</v>
      </c>
      <c r="D23" s="22" t="n">
        <v>530</v>
      </c>
      <c r="E23" s="11" t="n">
        <v>2642</v>
      </c>
      <c r="F23" s="19" t="s">
        <v>160</v>
      </c>
    </row>
    <row r="24" customFormat="false" ht="15" hidden="false" customHeight="true" outlineLevel="0" collapsed="false">
      <c r="A24" s="5" t="s">
        <v>161</v>
      </c>
      <c r="B24" s="24"/>
      <c r="C24" s="6" t="n">
        <f aca="false">Assumptions!B12</f>
        <v>84</v>
      </c>
      <c r="D24" s="24"/>
      <c r="E24" s="24"/>
      <c r="F24" s="24"/>
    </row>
  </sheetData>
  <mergeCells count="3">
    <mergeCell ref="A1:F1"/>
    <mergeCell ref="A9:F9"/>
    <mergeCell ref="A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"/>
    <col collapsed="false" customWidth="true" hidden="false" outlineLevel="0" max="4" min="2" style="1" width="18"/>
    <col collapsed="false" customWidth="true" hidden="false" outlineLevel="0" max="5" min="5" style="1" width="28"/>
  </cols>
  <sheetData>
    <row r="1" customFormat="false" ht="24" hidden="false" customHeight="true" outlineLevel="0" collapsed="false">
      <c r="A1" s="15" t="s">
        <v>162</v>
      </c>
      <c r="B1" s="15"/>
      <c r="C1" s="15"/>
      <c r="D1" s="15"/>
      <c r="E1" s="15"/>
    </row>
    <row r="2" customFormat="false" ht="15" hidden="false" customHeight="true" outlineLevel="0" collapsed="false">
      <c r="A2" s="9" t="s">
        <v>163</v>
      </c>
      <c r="B2" s="9" t="s">
        <v>13</v>
      </c>
      <c r="C2" s="9" t="s">
        <v>12</v>
      </c>
      <c r="D2" s="9" t="s">
        <v>14</v>
      </c>
      <c r="E2" s="9" t="s">
        <v>131</v>
      </c>
    </row>
    <row r="3" customFormat="false" ht="15" hidden="false" customHeight="true" outlineLevel="0" collapsed="false">
      <c r="A3" s="4" t="s">
        <v>164</v>
      </c>
      <c r="B3" s="4"/>
      <c r="C3" s="4"/>
      <c r="D3" s="4"/>
      <c r="E3" s="4"/>
    </row>
    <row r="4" customFormat="false" ht="12.75" hidden="false" customHeight="true" outlineLevel="0" collapsed="false">
      <c r="A4" s="25" t="s">
        <v>16</v>
      </c>
      <c r="B4" s="11" t="n">
        <f aca="false">Assumptions!B4</f>
        <v>4250000</v>
      </c>
      <c r="C4" s="11" t="n">
        <f aca="false">Assumptions!B4*0.94</f>
        <v>3995000</v>
      </c>
      <c r="D4" s="11" t="n">
        <f aca="false">Assumptions!B4*1.06</f>
        <v>4505000</v>
      </c>
      <c r="E4" s="19" t="s">
        <v>165</v>
      </c>
    </row>
    <row r="5" customFormat="false" ht="12.75" hidden="false" customHeight="true" outlineLevel="0" collapsed="false">
      <c r="A5" s="25" t="s">
        <v>166</v>
      </c>
      <c r="B5" s="11" t="n">
        <f aca="false">Assumptions!B6</f>
        <v>223125</v>
      </c>
      <c r="C5" s="11" t="n">
        <f aca="false">Assumptions!B4*0.94*Assumptions!B5</f>
        <v>209737.5</v>
      </c>
      <c r="D5" s="11" t="n">
        <f aca="false">Assumptions!B4*1.06*Assumptions!B5</f>
        <v>236512.5</v>
      </c>
      <c r="E5" s="19" t="s">
        <v>167</v>
      </c>
    </row>
    <row r="6" customFormat="false" ht="12.75" hidden="false" customHeight="true" outlineLevel="0" collapsed="false">
      <c r="A6" s="25" t="s">
        <v>168</v>
      </c>
      <c r="B6" s="11" t="n">
        <f aca="false">Assumptions!B7</f>
        <v>25000</v>
      </c>
      <c r="C6" s="11" t="n">
        <f aca="false">Assumptions!B7*0.9</f>
        <v>22500</v>
      </c>
      <c r="D6" s="11" t="n">
        <f aca="false">Assumptions!B7*1.15</f>
        <v>28750</v>
      </c>
      <c r="E6" s="19" t="s">
        <v>169</v>
      </c>
    </row>
    <row r="7" customFormat="false" ht="15" hidden="false" customHeight="true" outlineLevel="0" collapsed="false">
      <c r="A7" s="5" t="s">
        <v>170</v>
      </c>
      <c r="B7" s="26" t="n">
        <f aca="false">SUM(B4:B6)</f>
        <v>4498125</v>
      </c>
      <c r="C7" s="26" t="n">
        <f aca="false">SUM(C4:C6)</f>
        <v>4227237.5</v>
      </c>
      <c r="D7" s="26" t="n">
        <f aca="false">SUM(D4:D6)</f>
        <v>4770262.5</v>
      </c>
      <c r="E7" s="27"/>
    </row>
    <row r="8" customFormat="false" ht="15" hidden="false" customHeight="true" outlineLevel="0" collapsed="false">
      <c r="A8" s="4" t="s">
        <v>171</v>
      </c>
      <c r="B8" s="4"/>
      <c r="C8" s="4"/>
      <c r="D8" s="4"/>
      <c r="E8" s="4"/>
    </row>
    <row r="9" customFormat="false" ht="12.75" hidden="false" customHeight="true" outlineLevel="0" collapsed="false">
      <c r="A9" s="25" t="s">
        <v>172</v>
      </c>
      <c r="B9" s="11" t="n">
        <f aca="false">Assumptions!B19</f>
        <v>40000</v>
      </c>
      <c r="C9" s="11" t="n">
        <f aca="false">Assumptions!B19*0.85</f>
        <v>34000</v>
      </c>
      <c r="D9" s="11" t="n">
        <f aca="false">Assumptions!B19*1.25</f>
        <v>50000</v>
      </c>
      <c r="E9" s="19" t="s">
        <v>173</v>
      </c>
    </row>
    <row r="10" customFormat="false" ht="12.75" hidden="false" customHeight="true" outlineLevel="0" collapsed="false">
      <c r="A10" s="25" t="s">
        <v>174</v>
      </c>
      <c r="B10" s="11" t="n">
        <f aca="false">Assumptions!B20</f>
        <v>15000</v>
      </c>
      <c r="C10" s="11" t="n">
        <f aca="false">Assumptions!B20*0.8</f>
        <v>12000</v>
      </c>
      <c r="D10" s="11" t="n">
        <f aca="false">Assumptions!B20*1.5</f>
        <v>22500</v>
      </c>
      <c r="E10" s="19" t="s">
        <v>175</v>
      </c>
    </row>
    <row r="11" customFormat="false" ht="15" hidden="false" customHeight="true" outlineLevel="0" collapsed="false">
      <c r="A11" s="5" t="s">
        <v>176</v>
      </c>
      <c r="B11" s="26" t="n">
        <f aca="false">SUM(B9:B10)</f>
        <v>55000</v>
      </c>
      <c r="C11" s="26" t="n">
        <f aca="false">SUM(C9:C10)</f>
        <v>46000</v>
      </c>
      <c r="D11" s="26" t="n">
        <f aca="false">SUM(D9:D10)</f>
        <v>72500</v>
      </c>
      <c r="E11" s="27"/>
    </row>
    <row r="12" customFormat="false" ht="15" hidden="false" customHeight="true" outlineLevel="0" collapsed="false">
      <c r="A12" s="4" t="s">
        <v>177</v>
      </c>
      <c r="B12" s="4"/>
      <c r="C12" s="4"/>
      <c r="D12" s="4"/>
      <c r="E12" s="4"/>
    </row>
    <row r="13" customFormat="false" ht="12.75" hidden="false" customHeight="true" outlineLevel="0" collapsed="false">
      <c r="A13" s="25" t="s">
        <v>82</v>
      </c>
      <c r="B13" s="11" t="n">
        <f aca="false">Assumptions!B21</f>
        <v>25000</v>
      </c>
      <c r="C13" s="11" t="n">
        <f aca="false">Assumptions!B21*0.9</f>
        <v>22500</v>
      </c>
      <c r="D13" s="11" t="n">
        <f aca="false">Assumptions!B21*1.2</f>
        <v>30000</v>
      </c>
      <c r="E13" s="19" t="s">
        <v>178</v>
      </c>
    </row>
    <row r="14" customFormat="false" ht="12.75" hidden="false" customHeight="true" outlineLevel="0" collapsed="false">
      <c r="A14" s="25" t="s">
        <v>179</v>
      </c>
      <c r="B14" s="11" t="n">
        <f aca="false">Assumptions!B22</f>
        <v>35000</v>
      </c>
      <c r="C14" s="11" t="n">
        <f aca="false">Assumptions!B22*0.85</f>
        <v>29750</v>
      </c>
      <c r="D14" s="11" t="n">
        <f aca="false">Assumptions!B22*1.25</f>
        <v>43750</v>
      </c>
      <c r="E14" s="19" t="s">
        <v>180</v>
      </c>
    </row>
    <row r="15" customFormat="false" ht="12.75" hidden="false" customHeight="true" outlineLevel="0" collapsed="false">
      <c r="A15" s="25" t="s">
        <v>86</v>
      </c>
      <c r="B15" s="11" t="n">
        <f aca="false">Assumptions!B23</f>
        <v>15000</v>
      </c>
      <c r="C15" s="11" t="n">
        <f aca="false">Assumptions!B23*0.9</f>
        <v>13500</v>
      </c>
      <c r="D15" s="11" t="n">
        <f aca="false">Assumptions!B23*1.1</f>
        <v>16500</v>
      </c>
      <c r="E15" s="19" t="s">
        <v>181</v>
      </c>
    </row>
    <row r="16" customFormat="false" ht="12.75" hidden="false" customHeight="true" outlineLevel="0" collapsed="false">
      <c r="A16" s="25" t="s">
        <v>88</v>
      </c>
      <c r="B16" s="11" t="n">
        <f aca="false">Assumptions!B24</f>
        <v>25000</v>
      </c>
      <c r="C16" s="11" t="n">
        <f aca="false">Assumptions!B24*0.9</f>
        <v>22500</v>
      </c>
      <c r="D16" s="11" t="n">
        <f aca="false">Assumptions!B24*1.15</f>
        <v>28750</v>
      </c>
      <c r="E16" s="19" t="s">
        <v>182</v>
      </c>
    </row>
    <row r="17" customFormat="false" ht="15" hidden="false" customHeight="true" outlineLevel="0" collapsed="false">
      <c r="A17" s="5" t="s">
        <v>183</v>
      </c>
      <c r="B17" s="26" t="n">
        <f aca="false">SUM(B13:B16)</f>
        <v>100000</v>
      </c>
      <c r="C17" s="26" t="n">
        <f aca="false">SUM(C13:C16)</f>
        <v>88250</v>
      </c>
      <c r="D17" s="26" t="n">
        <f aca="false">SUM(D13:D16)</f>
        <v>119000</v>
      </c>
      <c r="E17" s="27"/>
    </row>
    <row r="18" customFormat="false" ht="15" hidden="false" customHeight="true" outlineLevel="0" collapsed="false">
      <c r="A18" s="4" t="s">
        <v>184</v>
      </c>
      <c r="B18" s="4"/>
      <c r="C18" s="4"/>
      <c r="D18" s="4"/>
      <c r="E18" s="4"/>
    </row>
    <row r="19" customFormat="false" ht="12.75" hidden="false" customHeight="true" outlineLevel="0" collapsed="false">
      <c r="A19" s="25" t="s">
        <v>185</v>
      </c>
      <c r="B19" s="11" t="n">
        <f aca="false">Assumptions!B25</f>
        <v>180000</v>
      </c>
      <c r="C19" s="11" t="n">
        <f aca="false">Assumptions!B25*0.85</f>
        <v>153000</v>
      </c>
      <c r="D19" s="11" t="n">
        <f aca="false">Assumptions!B25*1.15</f>
        <v>207000</v>
      </c>
      <c r="E19" s="19" t="s">
        <v>186</v>
      </c>
    </row>
    <row r="20" customFormat="false" ht="12.75" hidden="false" customHeight="true" outlineLevel="0" collapsed="false">
      <c r="A20" s="25" t="s">
        <v>187</v>
      </c>
      <c r="B20" s="11" t="n">
        <f aca="false">Assumptions!B26</f>
        <v>30000</v>
      </c>
      <c r="C20" s="11" t="n">
        <f aca="false">Assumptions!B26*0.8</f>
        <v>24000</v>
      </c>
      <c r="D20" s="11" t="n">
        <f aca="false">Assumptions!B26*1.3</f>
        <v>39000</v>
      </c>
      <c r="E20" s="19" t="s">
        <v>188</v>
      </c>
    </row>
    <row r="21" customFormat="false" ht="15" hidden="false" customHeight="true" outlineLevel="0" collapsed="false">
      <c r="A21" s="5" t="s">
        <v>189</v>
      </c>
      <c r="B21" s="26" t="n">
        <f aca="false">SUM(B19:B20)</f>
        <v>210000</v>
      </c>
      <c r="C21" s="26" t="n">
        <f aca="false">SUM(C19:C20)</f>
        <v>177000</v>
      </c>
      <c r="D21" s="26" t="n">
        <f aca="false">SUM(D19:D20)</f>
        <v>246000</v>
      </c>
      <c r="E21" s="27"/>
    </row>
    <row r="22" customFormat="false" ht="15" hidden="false" customHeight="true" outlineLevel="0" collapsed="false">
      <c r="A22" s="4" t="s">
        <v>190</v>
      </c>
      <c r="B22" s="4"/>
      <c r="C22" s="4"/>
      <c r="D22" s="4"/>
      <c r="E22" s="4"/>
    </row>
    <row r="23" customFormat="false" ht="12.75" hidden="false" customHeight="true" outlineLevel="0" collapsed="false">
      <c r="A23" s="25" t="s">
        <v>191</v>
      </c>
      <c r="B23" s="11" t="n">
        <f aca="false">Assumptions!B27</f>
        <v>18250</v>
      </c>
      <c r="C23" s="11" t="n">
        <f aca="false">Assumptions!B27*0.7</f>
        <v>12775</v>
      </c>
      <c r="D23" s="11" t="n">
        <f aca="false">Assumptions!B27*1.3</f>
        <v>23725</v>
      </c>
      <c r="E23" s="19" t="s">
        <v>192</v>
      </c>
    </row>
    <row r="24" customFormat="false" ht="15" hidden="false" customHeight="true" outlineLevel="0" collapsed="false">
      <c r="A24" s="5" t="s">
        <v>193</v>
      </c>
      <c r="B24" s="26" t="n">
        <f aca="false">SUM(B23:B23)</f>
        <v>18250</v>
      </c>
      <c r="C24" s="26" t="n">
        <f aca="false">SUM(C23:C23)</f>
        <v>12775</v>
      </c>
      <c r="D24" s="26" t="n">
        <f aca="false">SUM(D23:D23)</f>
        <v>23725</v>
      </c>
      <c r="E24" s="27"/>
    </row>
    <row r="25" customFormat="false" ht="15" hidden="false" customHeight="true" outlineLevel="0" collapsed="false">
      <c r="A25" s="4" t="s">
        <v>96</v>
      </c>
      <c r="B25" s="4"/>
      <c r="C25" s="4"/>
      <c r="D25" s="4"/>
      <c r="E25" s="4"/>
    </row>
    <row r="26" customFormat="false" ht="12.75" hidden="false" customHeight="true" outlineLevel="0" collapsed="false">
      <c r="A26" s="25" t="s">
        <v>194</v>
      </c>
      <c r="B26" s="11" t="n">
        <f aca="false">Assumptions!B31</f>
        <v>414375</v>
      </c>
      <c r="C26" s="11" t="n">
        <f aca="false">Assumptions!B4*0.94*(Assumptions!B30/12)*14</f>
        <v>302954.166666667</v>
      </c>
      <c r="D26" s="11" t="n">
        <f aca="false">Assumptions!B4*1.06*(Assumptions!B30/12)*22</f>
        <v>536845.833333333</v>
      </c>
      <c r="E26" s="19" t="s">
        <v>195</v>
      </c>
    </row>
    <row r="27" customFormat="false" ht="12.75" hidden="false" customHeight="true" outlineLevel="0" collapsed="false">
      <c r="A27" s="25" t="s">
        <v>103</v>
      </c>
      <c r="B27" s="11" t="n">
        <f aca="false">Assumptions!B32</f>
        <v>20000</v>
      </c>
      <c r="C27" s="11" t="n">
        <f aca="false">Assumptions!B32*0.8</f>
        <v>16000</v>
      </c>
      <c r="D27" s="11" t="n">
        <f aca="false">Assumptions!B32*1.3</f>
        <v>26000</v>
      </c>
      <c r="E27" s="19" t="s">
        <v>196</v>
      </c>
    </row>
    <row r="28" customFormat="false" ht="15" hidden="false" customHeight="true" outlineLevel="0" collapsed="false">
      <c r="A28" s="5" t="s">
        <v>197</v>
      </c>
      <c r="B28" s="26" t="n">
        <f aca="false">SUM(B26:B27)</f>
        <v>434375</v>
      </c>
      <c r="C28" s="26" t="n">
        <f aca="false">SUM(C26:C27)</f>
        <v>318954.166666667</v>
      </c>
      <c r="D28" s="26" t="n">
        <f aca="false">SUM(D26:D27)</f>
        <v>562845.833333333</v>
      </c>
      <c r="E28" s="27"/>
    </row>
    <row r="29" customFormat="false" ht="15" hidden="false" customHeight="true" outlineLevel="0" collapsed="false">
      <c r="A29" s="4" t="s">
        <v>105</v>
      </c>
      <c r="B29" s="4"/>
      <c r="C29" s="4"/>
      <c r="D29" s="4"/>
      <c r="E29" s="4"/>
    </row>
    <row r="30" customFormat="false" ht="12.75" hidden="false" customHeight="true" outlineLevel="0" collapsed="false">
      <c r="A30" s="25" t="s">
        <v>198</v>
      </c>
      <c r="B30" s="11" t="n">
        <f aca="false">GDV!B11*Assumptions!B34</f>
        <v>128472</v>
      </c>
      <c r="C30" s="11" t="n">
        <f aca="false">GDV!C11*Assumptions!B34*0.9</f>
        <v>105386.4</v>
      </c>
      <c r="D30" s="11" t="n">
        <f aca="false">GDV!D11*Assumptions!B34*1.05</f>
        <v>145011.6864</v>
      </c>
      <c r="E30" s="19" t="s">
        <v>199</v>
      </c>
    </row>
    <row r="31" customFormat="false" ht="12.75" hidden="false" customHeight="true" outlineLevel="0" collapsed="false">
      <c r="A31" s="25" t="s">
        <v>200</v>
      </c>
      <c r="B31" s="11" t="n">
        <f aca="false">Assumptions!B35</f>
        <v>50000</v>
      </c>
      <c r="C31" s="11" t="n">
        <f aca="false">Assumptions!B35*0.8</f>
        <v>40000</v>
      </c>
      <c r="D31" s="11" t="n">
        <f aca="false">Assumptions!B35*1.3</f>
        <v>65000</v>
      </c>
      <c r="E31" s="19" t="s">
        <v>201</v>
      </c>
    </row>
    <row r="32" customFormat="false" ht="12.75" hidden="false" customHeight="true" outlineLevel="0" collapsed="false">
      <c r="A32" s="25" t="s">
        <v>202</v>
      </c>
      <c r="B32" s="11" t="n">
        <f aca="false">Assumptions!B36</f>
        <v>10000</v>
      </c>
      <c r="C32" s="11" t="n">
        <f aca="false">Assumptions!B36*0.9</f>
        <v>9000</v>
      </c>
      <c r="D32" s="11" t="n">
        <f aca="false">Assumptions!B36*1.1</f>
        <v>11000</v>
      </c>
      <c r="E32" s="19" t="s">
        <v>203</v>
      </c>
    </row>
    <row r="33" customFormat="false" ht="15" hidden="false" customHeight="true" outlineLevel="0" collapsed="false">
      <c r="A33" s="5" t="s">
        <v>204</v>
      </c>
      <c r="B33" s="26" t="n">
        <f aca="false">SUM(B30:B32)</f>
        <v>188472</v>
      </c>
      <c r="C33" s="26" t="n">
        <f aca="false">SUM(C30:C32)</f>
        <v>154386.4</v>
      </c>
      <c r="D33" s="26" t="n">
        <f aca="false">SUM(D30:D32)</f>
        <v>221011.6864</v>
      </c>
      <c r="E33" s="27"/>
    </row>
    <row r="35" customFormat="false" ht="19.5" hidden="false" customHeight="true" outlineLevel="0" collapsed="false">
      <c r="A35" s="28" t="s">
        <v>205</v>
      </c>
      <c r="B35" s="6" t="n">
        <f aca="false">B7+B11+B17+B21+B24+B28+B33</f>
        <v>5504222</v>
      </c>
      <c r="C35" s="6" t="n">
        <f aca="false">C7+C11+C17+C21+C24+C28+C33</f>
        <v>5024603.06666667</v>
      </c>
      <c r="D35" s="6" t="n">
        <f aca="false">D7+D11+D17+D21+D24+D28+D33</f>
        <v>6015345.01973333</v>
      </c>
      <c r="E35" s="24"/>
    </row>
  </sheetData>
  <mergeCells count="8">
    <mergeCell ref="A1:E1"/>
    <mergeCell ref="A3:E3"/>
    <mergeCell ref="A8:E8"/>
    <mergeCell ref="A12:E12"/>
    <mergeCell ref="A18:E18"/>
    <mergeCell ref="A22:E22"/>
    <mergeCell ref="A25:E25"/>
    <mergeCell ref="A29:E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8" min="2" style="1" width="15"/>
  </cols>
  <sheetData>
    <row r="1" customFormat="false" ht="24" hidden="false" customHeight="true" outlineLevel="0" collapsed="false">
      <c r="A1" s="15" t="s">
        <v>206</v>
      </c>
      <c r="B1" s="15"/>
      <c r="C1" s="15"/>
      <c r="D1" s="15"/>
      <c r="E1" s="15"/>
      <c r="F1" s="15"/>
      <c r="G1" s="15"/>
      <c r="H1" s="15"/>
      <c r="I1" s="15"/>
    </row>
    <row r="3" customFormat="false" ht="27.75" hidden="false" customHeight="true" outlineLevel="0" collapsed="false">
      <c r="A3" s="29" t="s">
        <v>207</v>
      </c>
      <c r="B3" s="30" t="n">
        <v>2400</v>
      </c>
      <c r="C3" s="30" t="n">
        <v>2600</v>
      </c>
      <c r="D3" s="30" t="n">
        <v>2800</v>
      </c>
      <c r="E3" s="30" t="n">
        <v>3000</v>
      </c>
      <c r="F3" s="30" t="n">
        <v>3200</v>
      </c>
      <c r="G3" s="30" t="n">
        <v>3400</v>
      </c>
      <c r="H3" s="30" t="n">
        <v>3600</v>
      </c>
    </row>
    <row r="4" customFormat="false" ht="15.75" hidden="false" customHeight="true" outlineLevel="0" collapsed="false">
      <c r="A4" s="31" t="n">
        <v>3750000</v>
      </c>
      <c r="B4" s="32" t="n">
        <f aca="false">(2400*Assumptions!B9*(1+Assumptions!B17*0.25))-3750000-3750000*Assumptions!B5-Assumptions!B8-(Assumptions!B17+Assumptions!B18+Assumptions!B19+Assumptions!B20+Assumptions!B21+Assumptions!B22+Assumptions!B23+Assumptions!B24+Assumptions!B25)-3750000*(Assumptions!B29/12)*Assumptions!B29-Assumptions!B32-(2400*Assumptions!B9*(1+Assumptions!B17*0.25))*Assumptions!B34-Assumptions!B35-Assumptions!B36</f>
        <v>-100595482.44</v>
      </c>
      <c r="C4" s="32" t="n">
        <f aca="false">(2600*Assumptions!B9*(1+Assumptions!B17*0.25))-3750000-3750000*Assumptions!B5-Assumptions!B8-(Assumptions!B17+Assumptions!B18+Assumptions!B19+Assumptions!B20+Assumptions!B21+Assumptions!B22+Assumptions!B23+Assumptions!B24+Assumptions!B25)-3750000*(Assumptions!B29/12)*Assumptions!B29-Assumptions!B32-(2600*Assumptions!B9*(1+Assumptions!B17*0.25))*Assumptions!B34-Assumptions!B35-Assumptions!B36</f>
        <v>-100177449.72</v>
      </c>
      <c r="D4" s="32" t="n">
        <f aca="false">(2800*Assumptions!B9*(1+Assumptions!B17*0.25))-3750000-3750000*Assumptions!B5-Assumptions!B8-(Assumptions!B17+Assumptions!B18+Assumptions!B19+Assumptions!B20+Assumptions!B21+Assumptions!B22+Assumptions!B23+Assumptions!B24+Assumptions!B25)-3750000*(Assumptions!B29/12)*Assumptions!B29-Assumptions!B32-(2800*Assumptions!B9*(1+Assumptions!B17*0.25))*Assumptions!B34-Assumptions!B35-Assumptions!B36</f>
        <v>-99759417</v>
      </c>
      <c r="E4" s="32" t="n">
        <f aca="false">(3000*Assumptions!B10*(1+Assumptions!B14*0.25))-3750000-3750000*Assumptions!B6-Assumptions!B8-(Assumptions!B17+Assumptions!B18+Assumptions!B19+Assumptions!B20+Assumptions!B21+Assumptions!B22+Assumptions!B23+Assumptions!B24+Assumptions!B25)-3750000*(Assumptions!B29/12)*Assumptions!B28-Assumptions!B31-(3000*Assumptions!B10*(1+Assumptions!B14*0.25))*Assumptions!B33-Assumptions!B34-Assumptions!B35</f>
        <v>-836712784375.1</v>
      </c>
      <c r="F4" s="32" t="n">
        <f aca="false">(3200*Assumptions!B10*(1+Assumptions!B14*0.25))-3750000-3750000*Assumptions!B6-Assumptions!B8-(Assumptions!B17+Assumptions!B18+Assumptions!B19+Assumptions!B20+Assumptions!B21+Assumptions!B22+Assumptions!B23+Assumptions!B24+Assumptions!B25)-3750000*(Assumptions!B29/12)*Assumptions!B28-Assumptions!B31-(3200*Assumptions!B10*(1+Assumptions!B14*0.25))*Assumptions!B33-Assumptions!B34-Assumptions!B35</f>
        <v>-836712083375.1</v>
      </c>
      <c r="G4" s="32" t="n">
        <f aca="false">(3400*Assumptions!B10*(1+Assumptions!B14*0.25))-3750000-3750000*Assumptions!B6-Assumptions!B8-(Assumptions!B17+Assumptions!B18+Assumptions!B19+Assumptions!B20+Assumptions!B21+Assumptions!B22+Assumptions!B23+Assumptions!B24+Assumptions!B25)-3750000*(Assumptions!B29/12)*Assumptions!B28-Assumptions!B31-(3400*Assumptions!B10*(1+Assumptions!B14*0.25))*Assumptions!B33-Assumptions!B34-Assumptions!B35</f>
        <v>-836711382375.1</v>
      </c>
      <c r="H4" s="32" t="n">
        <f aca="false">(3600*Assumptions!B10*(1+Assumptions!B14*0.25))-3750000-3750000*Assumptions!B6-Assumptions!B8-(Assumptions!B17+Assumptions!B18+Assumptions!B19+Assumptions!B20+Assumptions!B21+Assumptions!B22+Assumptions!B23+Assumptions!B24+Assumptions!B25)-3750000*(Assumptions!B29/12)*Assumptions!B28-Assumptions!B31-(3600*Assumptions!B10*(1+Assumptions!B14*0.25))*Assumptions!B33-Assumptions!B34-Assumptions!B35</f>
        <v>-836710681375.1</v>
      </c>
    </row>
    <row r="5" customFormat="false" ht="15.75" hidden="false" customHeight="true" outlineLevel="0" collapsed="false">
      <c r="A5" s="31" t="n">
        <v>4000000</v>
      </c>
      <c r="B5" s="32" t="n">
        <f aca="false">(2400*Assumptions!B9*(1+Assumptions!B17*0.25))-4000000-4000000*Assumptions!B5-Assumptions!B8-(Assumptions!B17+Assumptions!B18+Assumptions!B19+Assumptions!B20+Assumptions!B21+Assumptions!B22+Assumptions!B23+Assumptions!B24+Assumptions!B25)-4000000*(Assumptions!B29/12)*Assumptions!B29-Assumptions!B32-(2400*Assumptions!B9*(1+Assumptions!B17*0.25))*Assumptions!B34-Assumptions!B35-Assumptions!B36</f>
        <v>-107608607.44</v>
      </c>
      <c r="C5" s="32" t="n">
        <f aca="false">(2600*Assumptions!B9*(1+Assumptions!B17*0.25))-4000000-4000000*Assumptions!B5-Assumptions!B8-(Assumptions!B17+Assumptions!B18+Assumptions!B19+Assumptions!B20+Assumptions!B21+Assumptions!B22+Assumptions!B23+Assumptions!B24+Assumptions!B25)-4000000*(Assumptions!B29/12)*Assumptions!B29-Assumptions!B32-(2600*Assumptions!B9*(1+Assumptions!B17*0.25))*Assumptions!B34-Assumptions!B35-Assumptions!B36</f>
        <v>-107190574.72</v>
      </c>
      <c r="D5" s="32" t="n">
        <f aca="false">(2800*Assumptions!B9*(1+Assumptions!B17*0.25))-4000000-4000000*Assumptions!B5-Assumptions!B8-(Assumptions!B17+Assumptions!B18+Assumptions!B19+Assumptions!B20+Assumptions!B21+Assumptions!B22+Assumptions!B23+Assumptions!B24+Assumptions!B25)-4000000*(Assumptions!B29/12)*Assumptions!B29-Assumptions!B32-(2800*Assumptions!B9*(1+Assumptions!B17*0.25))*Assumptions!B34-Assumptions!B35-Assumptions!B36</f>
        <v>-106772542</v>
      </c>
      <c r="E5" s="32" t="n">
        <f aca="false">(3000*Assumptions!B10*(1+Assumptions!B14*0.25))-4000000-4000000*Assumptions!B6-Assumptions!B8-(Assumptions!B17+Assumptions!B18+Assumptions!B19+Assumptions!B20+Assumptions!B21+Assumptions!B22+Assumptions!B23+Assumptions!B24+Assumptions!B25)-4000000*(Assumptions!B29/12)*Assumptions!B28-Assumptions!B31-(3000*Assumptions!B10*(1+Assumptions!B14*0.25))*Assumptions!B33-Assumptions!B34-Assumptions!B35</f>
        <v>-892494284375.1</v>
      </c>
      <c r="F5" s="32" t="n">
        <f aca="false">(3200*Assumptions!B10*(1+Assumptions!B14*0.25))-4000000-4000000*Assumptions!B6-Assumptions!B8-(Assumptions!B17+Assumptions!B18+Assumptions!B19+Assumptions!B20+Assumptions!B21+Assumptions!B22+Assumptions!B23+Assumptions!B24+Assumptions!B25)-4000000*(Assumptions!B29/12)*Assumptions!B28-Assumptions!B31-(3200*Assumptions!B10*(1+Assumptions!B14*0.25))*Assumptions!B33-Assumptions!B34-Assumptions!B35</f>
        <v>-892493583375.1</v>
      </c>
      <c r="G5" s="32" t="n">
        <f aca="false">(3400*Assumptions!B10*(1+Assumptions!B14*0.25))-4000000-4000000*Assumptions!B6-Assumptions!B8-(Assumptions!B17+Assumptions!B18+Assumptions!B19+Assumptions!B20+Assumptions!B21+Assumptions!B22+Assumptions!B23+Assumptions!B24+Assumptions!B25)-4000000*(Assumptions!B29/12)*Assumptions!B28-Assumptions!B31-(3400*Assumptions!B10*(1+Assumptions!B14*0.25))*Assumptions!B33-Assumptions!B34-Assumptions!B35</f>
        <v>-892492882375.1</v>
      </c>
      <c r="H5" s="32" t="n">
        <f aca="false">(3600*Assumptions!B10*(1+Assumptions!B14*0.25))-4000000-4000000*Assumptions!B6-Assumptions!B8-(Assumptions!B17+Assumptions!B18+Assumptions!B19+Assumptions!B20+Assumptions!B21+Assumptions!B22+Assumptions!B23+Assumptions!B24+Assumptions!B25)-4000000*(Assumptions!B29/12)*Assumptions!B28-Assumptions!B31-(3600*Assumptions!B10*(1+Assumptions!B14*0.25))*Assumptions!B33-Assumptions!B34-Assumptions!B35</f>
        <v>-892492181375.1</v>
      </c>
    </row>
    <row r="6" customFormat="false" ht="15.75" hidden="false" customHeight="true" outlineLevel="0" collapsed="false">
      <c r="A6" s="31" t="n">
        <v>4250000</v>
      </c>
      <c r="B6" s="32" t="n">
        <f aca="false">(2400*Assumptions!B9*(1+Assumptions!B17*0.25))-4250000-4250000*Assumptions!B5-Assumptions!B8-(Assumptions!B17+Assumptions!B18+Assumptions!B19+Assumptions!B20+Assumptions!B21+Assumptions!B22+Assumptions!B23+Assumptions!B24+Assumptions!B25)-4250000*(Assumptions!B29/12)*Assumptions!B29-Assumptions!B32-(2400*Assumptions!B9*(1+Assumptions!B17*0.25))*Assumptions!B34-Assumptions!B35-Assumptions!B36</f>
        <v>-114621732.44</v>
      </c>
      <c r="C6" s="32" t="n">
        <f aca="false">(2600*Assumptions!B9*(1+Assumptions!B17*0.25))-4250000-4250000*Assumptions!B5-Assumptions!B8-(Assumptions!B17+Assumptions!B18+Assumptions!B19+Assumptions!B20+Assumptions!B21+Assumptions!B22+Assumptions!B23+Assumptions!B24+Assumptions!B25)-4250000*(Assumptions!B29/12)*Assumptions!B29-Assumptions!B32-(2600*Assumptions!B9*(1+Assumptions!B17*0.25))*Assumptions!B34-Assumptions!B35-Assumptions!B36</f>
        <v>-114203699.72</v>
      </c>
      <c r="D6" s="32" t="n">
        <f aca="false">(2800*Assumptions!B9*(1+Assumptions!B17*0.25))-4250000-4250000*Assumptions!B5-Assumptions!B8-(Assumptions!B17+Assumptions!B18+Assumptions!B19+Assumptions!B20+Assumptions!B21+Assumptions!B22+Assumptions!B23+Assumptions!B24+Assumptions!B25)-4250000*(Assumptions!B29/12)*Assumptions!B29-Assumptions!B32-(2800*Assumptions!B9*(1+Assumptions!B17*0.25))*Assumptions!B34-Assumptions!B35-Assumptions!B36</f>
        <v>-113785667</v>
      </c>
      <c r="E6" s="32" t="n">
        <f aca="false">(3000*Assumptions!B10*(1+Assumptions!B14*0.25))-4250000-4250000*Assumptions!B6-Assumptions!B8-(Assumptions!B17+Assumptions!B18+Assumptions!B19+Assumptions!B20+Assumptions!B21+Assumptions!B22+Assumptions!B23+Assumptions!B24+Assumptions!B25)-4250000*(Assumptions!B29/12)*Assumptions!B28-Assumptions!B31-(3000*Assumptions!B10*(1+Assumptions!B14*0.25))*Assumptions!B33-Assumptions!B34-Assumptions!B35</f>
        <v>-948275784375.1</v>
      </c>
      <c r="F6" s="32" t="n">
        <f aca="false">(3200*Assumptions!B10*(1+Assumptions!B14*0.25))-4250000-4250000*Assumptions!B6-Assumptions!B8-(Assumptions!B17+Assumptions!B18+Assumptions!B19+Assumptions!B20+Assumptions!B21+Assumptions!B22+Assumptions!B23+Assumptions!B24+Assumptions!B25)-4250000*(Assumptions!B29/12)*Assumptions!B28-Assumptions!B31-(3200*Assumptions!B10*(1+Assumptions!B14*0.25))*Assumptions!B33-Assumptions!B34-Assumptions!B35</f>
        <v>-948275083375.1</v>
      </c>
      <c r="G6" s="32" t="n">
        <f aca="false">(3400*Assumptions!B10*(1+Assumptions!B14*0.25))-4250000-4250000*Assumptions!B6-Assumptions!B8-(Assumptions!B17+Assumptions!B18+Assumptions!B19+Assumptions!B20+Assumptions!B21+Assumptions!B22+Assumptions!B23+Assumptions!B24+Assumptions!B25)-4250000*(Assumptions!B29/12)*Assumptions!B28-Assumptions!B31-(3400*Assumptions!B10*(1+Assumptions!B14*0.25))*Assumptions!B33-Assumptions!B34-Assumptions!B35</f>
        <v>-948274382375.1</v>
      </c>
      <c r="H6" s="32" t="n">
        <f aca="false">(3600*Assumptions!B10*(1+Assumptions!B14*0.25))-4250000-4250000*Assumptions!B6-Assumptions!B8-(Assumptions!B17+Assumptions!B18+Assumptions!B19+Assumptions!B20+Assumptions!B21+Assumptions!B22+Assumptions!B23+Assumptions!B24+Assumptions!B25)-4250000*(Assumptions!B29/12)*Assumptions!B28-Assumptions!B31-(3600*Assumptions!B10*(1+Assumptions!B14*0.25))*Assumptions!B33-Assumptions!B34-Assumptions!B35</f>
        <v>-948273681375.1</v>
      </c>
    </row>
    <row r="7" customFormat="false" ht="15.75" hidden="false" customHeight="true" outlineLevel="0" collapsed="false">
      <c r="A7" s="31" t="n">
        <v>4500000</v>
      </c>
      <c r="B7" s="32" t="n">
        <f aca="false">(2400*Assumptions!B9*(1+Assumptions!B17*0.25))-4500000-4500000*Assumptions!B5-Assumptions!B8-(Assumptions!B17+Assumptions!B18+Assumptions!B19+Assumptions!B20+Assumptions!B21+Assumptions!B22+Assumptions!B23+Assumptions!B24+Assumptions!B25)-4500000*(Assumptions!B29/12)*Assumptions!B29-Assumptions!B32-(2400*Assumptions!B9*(1+Assumptions!B17*0.25))*Assumptions!B34-Assumptions!B35-Assumptions!B36</f>
        <v>-121634857.44</v>
      </c>
      <c r="C7" s="32" t="n">
        <f aca="false">(2600*Assumptions!B9*(1+Assumptions!B17*0.25))-4500000-4500000*Assumptions!B5-Assumptions!B8-(Assumptions!B17+Assumptions!B18+Assumptions!B19+Assumptions!B20+Assumptions!B21+Assumptions!B22+Assumptions!B23+Assumptions!B24+Assumptions!B25)-4500000*(Assumptions!B29/12)*Assumptions!B29-Assumptions!B32-(2600*Assumptions!B9*(1+Assumptions!B17*0.25))*Assumptions!B34-Assumptions!B35-Assumptions!B36</f>
        <v>-121216824.72</v>
      </c>
      <c r="D7" s="32" t="n">
        <f aca="false">(2800*Assumptions!B9*(1+Assumptions!B17*0.25))-4500000-4500000*Assumptions!B5-Assumptions!B8-(Assumptions!B17+Assumptions!B18+Assumptions!B19+Assumptions!B20+Assumptions!B21+Assumptions!B22+Assumptions!B23+Assumptions!B24+Assumptions!B25)-4500000*(Assumptions!B29/12)*Assumptions!B29-Assumptions!B32-(2800*Assumptions!B9*(1+Assumptions!B17*0.25))*Assumptions!B34-Assumptions!B35-Assumptions!B36</f>
        <v>-120798792</v>
      </c>
      <c r="E7" s="32" t="n">
        <f aca="false">(3000*Assumptions!B10*(1+Assumptions!B14*0.25))-4500000-4500000*Assumptions!B6-Assumptions!B8-(Assumptions!B17+Assumptions!B18+Assumptions!B19+Assumptions!B20+Assumptions!B21+Assumptions!B22+Assumptions!B23+Assumptions!B24+Assumptions!B25)-4500000*(Assumptions!B29/12)*Assumptions!B28-Assumptions!B31-(3000*Assumptions!B10*(1+Assumptions!B14*0.25))*Assumptions!B33-Assumptions!B34-Assumptions!B35</f>
        <v>-1004057284375.1</v>
      </c>
      <c r="F7" s="32" t="n">
        <f aca="false">(3200*Assumptions!B10*(1+Assumptions!B14*0.25))-4500000-4500000*Assumptions!B6-Assumptions!B8-(Assumptions!B17+Assumptions!B18+Assumptions!B19+Assumptions!B20+Assumptions!B21+Assumptions!B22+Assumptions!B23+Assumptions!B24+Assumptions!B25)-4500000*(Assumptions!B29/12)*Assumptions!B28-Assumptions!B31-(3200*Assumptions!B10*(1+Assumptions!B14*0.25))*Assumptions!B33-Assumptions!B34-Assumptions!B35</f>
        <v>-1004056583375.1</v>
      </c>
      <c r="G7" s="32" t="n">
        <f aca="false">(3400*Assumptions!B10*(1+Assumptions!B14*0.25))-4500000-4500000*Assumptions!B6-Assumptions!B8-(Assumptions!B17+Assumptions!B18+Assumptions!B19+Assumptions!B20+Assumptions!B21+Assumptions!B22+Assumptions!B23+Assumptions!B24+Assumptions!B25)-4500000*(Assumptions!B29/12)*Assumptions!B28-Assumptions!B31-(3400*Assumptions!B10*(1+Assumptions!B14*0.25))*Assumptions!B33-Assumptions!B34-Assumptions!B35</f>
        <v>-1004055882375.1</v>
      </c>
      <c r="H7" s="32" t="n">
        <f aca="false">(3600*Assumptions!B10*(1+Assumptions!B14*0.25))-4500000-4500000*Assumptions!B6-Assumptions!B8-(Assumptions!B17+Assumptions!B18+Assumptions!B19+Assumptions!B20+Assumptions!B21+Assumptions!B22+Assumptions!B23+Assumptions!B24+Assumptions!B25)-4500000*(Assumptions!B29/12)*Assumptions!B28-Assumptions!B31-(3600*Assumptions!B10*(1+Assumptions!B14*0.25))*Assumptions!B33-Assumptions!B34-Assumptions!B35</f>
        <v>-1004055181375.1</v>
      </c>
    </row>
    <row r="8" customFormat="false" ht="15.75" hidden="false" customHeight="true" outlineLevel="0" collapsed="false">
      <c r="A8" s="31" t="n">
        <v>4750000</v>
      </c>
      <c r="B8" s="32" t="n">
        <f aca="false">(2400*Assumptions!B9*(1+Assumptions!B17*0.25))-4750000-4750000*Assumptions!B5-Assumptions!B8-(Assumptions!B17+Assumptions!B18+Assumptions!B19+Assumptions!B20+Assumptions!B21+Assumptions!B22+Assumptions!B23+Assumptions!B24+Assumptions!B25)-4750000*(Assumptions!B29/12)*Assumptions!B29-Assumptions!B32-(2400*Assumptions!B9*(1+Assumptions!B17*0.25))*Assumptions!B34-Assumptions!B35-Assumptions!B36</f>
        <v>-128647982.44</v>
      </c>
      <c r="C8" s="32" t="n">
        <f aca="false">(2600*Assumptions!B9*(1+Assumptions!B17*0.25))-4750000-4750000*Assumptions!B5-Assumptions!B8-(Assumptions!B17+Assumptions!B18+Assumptions!B19+Assumptions!B20+Assumptions!B21+Assumptions!B22+Assumptions!B23+Assumptions!B24+Assumptions!B25)-4750000*(Assumptions!B29/12)*Assumptions!B29-Assumptions!B32-(2600*Assumptions!B9*(1+Assumptions!B17*0.25))*Assumptions!B34-Assumptions!B35-Assumptions!B36</f>
        <v>-128229949.72</v>
      </c>
      <c r="D8" s="32" t="n">
        <f aca="false">(2800*Assumptions!B9*(1+Assumptions!B17*0.25))-4750000-4750000*Assumptions!B5-Assumptions!B8-(Assumptions!B17+Assumptions!B18+Assumptions!B19+Assumptions!B20+Assumptions!B21+Assumptions!B22+Assumptions!B23+Assumptions!B24+Assumptions!B25)-4750000*(Assumptions!B29/12)*Assumptions!B29-Assumptions!B32-(2800*Assumptions!B9*(1+Assumptions!B17*0.25))*Assumptions!B34-Assumptions!B35-Assumptions!B36</f>
        <v>-127811917</v>
      </c>
      <c r="E8" s="32" t="n">
        <f aca="false">(3000*Assumptions!B10*(1+Assumptions!B14*0.25))-4750000-4750000*Assumptions!B6-Assumptions!B8-(Assumptions!B17+Assumptions!B18+Assumptions!B19+Assumptions!B20+Assumptions!B21+Assumptions!B22+Assumptions!B23+Assumptions!B24+Assumptions!B25)-4750000*(Assumptions!B29/12)*Assumptions!B28-Assumptions!B31-(3000*Assumptions!B10*(1+Assumptions!B14*0.25))*Assumptions!B33-Assumptions!B34-Assumptions!B35</f>
        <v>-1059838784375.1</v>
      </c>
      <c r="F8" s="32" t="n">
        <f aca="false">(3200*Assumptions!B10*(1+Assumptions!B14*0.25))-4750000-4750000*Assumptions!B6-Assumptions!B8-(Assumptions!B17+Assumptions!B18+Assumptions!B19+Assumptions!B20+Assumptions!B21+Assumptions!B22+Assumptions!B23+Assumptions!B24+Assumptions!B25)-4750000*(Assumptions!B29/12)*Assumptions!B28-Assumptions!B31-(3200*Assumptions!B10*(1+Assumptions!B14*0.25))*Assumptions!B33-Assumptions!B34-Assumptions!B35</f>
        <v>-1059838083375.1</v>
      </c>
      <c r="G8" s="32" t="n">
        <f aca="false">(3400*Assumptions!B10*(1+Assumptions!B14*0.25))-4750000-4750000*Assumptions!B6-Assumptions!B8-(Assumptions!B17+Assumptions!B18+Assumptions!B19+Assumptions!B20+Assumptions!B21+Assumptions!B22+Assumptions!B23+Assumptions!B24+Assumptions!B25)-4750000*(Assumptions!B29/12)*Assumptions!B28-Assumptions!B31-(3400*Assumptions!B10*(1+Assumptions!B14*0.25))*Assumptions!B33-Assumptions!B34-Assumptions!B35</f>
        <v>-1059837382375.1</v>
      </c>
      <c r="H8" s="32" t="n">
        <f aca="false">(3600*Assumptions!B10*(1+Assumptions!B14*0.25))-4750000-4750000*Assumptions!B6-Assumptions!B8-(Assumptions!B17+Assumptions!B18+Assumptions!B19+Assumptions!B20+Assumptions!B21+Assumptions!B22+Assumptions!B23+Assumptions!B24+Assumptions!B25)-4750000*(Assumptions!B29/12)*Assumptions!B28-Assumptions!B31-(3600*Assumptions!B10*(1+Assumptions!B14*0.25))*Assumptions!B33-Assumptions!B34-Assumptions!B35</f>
        <v>-1059836681375.1</v>
      </c>
    </row>
    <row r="9" customFormat="false" ht="15.75" hidden="false" customHeight="true" outlineLevel="0" collapsed="false">
      <c r="A9" s="31" t="n">
        <v>5000000</v>
      </c>
      <c r="B9" s="32" t="n">
        <f aca="false">(2400*Assumptions!B9*(1+Assumptions!B17*0.25))-5000000-5000000*Assumptions!B5-Assumptions!B8-(Assumptions!B17+Assumptions!B18+Assumptions!B19+Assumptions!B20+Assumptions!B21+Assumptions!B22+Assumptions!B23+Assumptions!B24+Assumptions!B25)-5000000*(Assumptions!B29/12)*Assumptions!B29-Assumptions!B32-(2400*Assumptions!B9*(1+Assumptions!B17*0.25))*Assumptions!B34-Assumptions!B35-Assumptions!B36</f>
        <v>-135661107.44</v>
      </c>
      <c r="C9" s="32" t="n">
        <f aca="false">(2600*Assumptions!B9*(1+Assumptions!B17*0.25))-5000000-5000000*Assumptions!B5-Assumptions!B8-(Assumptions!B17+Assumptions!B18+Assumptions!B19+Assumptions!B20+Assumptions!B21+Assumptions!B22+Assumptions!B23+Assumptions!B24+Assumptions!B25)-5000000*(Assumptions!B29/12)*Assumptions!B29-Assumptions!B32-(2600*Assumptions!B9*(1+Assumptions!B17*0.25))*Assumptions!B34-Assumptions!B35-Assumptions!B36</f>
        <v>-135243074.72</v>
      </c>
      <c r="D9" s="32" t="n">
        <f aca="false">(2800*Assumptions!B9*(1+Assumptions!B17*0.25))-5000000-5000000*Assumptions!B5-Assumptions!B8-(Assumptions!B17+Assumptions!B18+Assumptions!B19+Assumptions!B20+Assumptions!B21+Assumptions!B22+Assumptions!B23+Assumptions!B24+Assumptions!B25)-5000000*(Assumptions!B29/12)*Assumptions!B29-Assumptions!B32-(2800*Assumptions!B9*(1+Assumptions!B17*0.25))*Assumptions!B34-Assumptions!B35-Assumptions!B36</f>
        <v>-134825042</v>
      </c>
      <c r="E9" s="32" t="n">
        <f aca="false">(3000*Assumptions!B10*(1+Assumptions!B14*0.25))-5000000-5000000*Assumptions!B6-Assumptions!B8-(Assumptions!B17+Assumptions!B18+Assumptions!B19+Assumptions!B20+Assumptions!B21+Assumptions!B22+Assumptions!B23+Assumptions!B24+Assumptions!B25)-5000000*(Assumptions!B29/12)*Assumptions!B28-Assumptions!B31-(3000*Assumptions!B10*(1+Assumptions!B14*0.25))*Assumptions!B33-Assumptions!B34-Assumptions!B35</f>
        <v>-1115620284375.1</v>
      </c>
      <c r="F9" s="32" t="n">
        <f aca="false">(3200*Assumptions!B10*(1+Assumptions!B14*0.25))-5000000-5000000*Assumptions!B6-Assumptions!B8-(Assumptions!B17+Assumptions!B18+Assumptions!B19+Assumptions!B20+Assumptions!B21+Assumptions!B22+Assumptions!B23+Assumptions!B24+Assumptions!B25)-5000000*(Assumptions!B29/12)*Assumptions!B28-Assumptions!B31-(3200*Assumptions!B10*(1+Assumptions!B14*0.25))*Assumptions!B33-Assumptions!B34-Assumptions!B35</f>
        <v>-1115619583375.1</v>
      </c>
      <c r="G9" s="32" t="n">
        <f aca="false">(3400*Assumptions!B10*(1+Assumptions!B14*0.25))-5000000-5000000*Assumptions!B6-Assumptions!B8-(Assumptions!B17+Assumptions!B18+Assumptions!B19+Assumptions!B20+Assumptions!B21+Assumptions!B22+Assumptions!B23+Assumptions!B24+Assumptions!B25)-5000000*(Assumptions!B29/12)*Assumptions!B28-Assumptions!B31-(3400*Assumptions!B10*(1+Assumptions!B14*0.25))*Assumptions!B33-Assumptions!B34-Assumptions!B35</f>
        <v>-1115618882375.1</v>
      </c>
      <c r="H9" s="32" t="n">
        <f aca="false">(3600*Assumptions!B10*(1+Assumptions!B14*0.25))-5000000-5000000*Assumptions!B6-Assumptions!B8-(Assumptions!B17+Assumptions!B18+Assumptions!B19+Assumptions!B20+Assumptions!B21+Assumptions!B22+Assumptions!B23+Assumptions!B24+Assumptions!B25)-5000000*(Assumptions!B29/12)*Assumptions!B28-Assumptions!B31-(3600*Assumptions!B10*(1+Assumptions!B14*0.25))*Assumptions!B33-Assumptions!B34-Assumptions!B35</f>
        <v>-1115618181375.1</v>
      </c>
    </row>
    <row r="12" customFormat="false" ht="21.75" hidden="false" customHeight="true" outlineLevel="0" collapsed="false">
      <c r="A12" s="14" t="s">
        <v>208</v>
      </c>
      <c r="B12" s="14"/>
      <c r="C12" s="14"/>
      <c r="D12" s="14"/>
      <c r="E12" s="14"/>
      <c r="F12" s="14"/>
      <c r="G12" s="14"/>
      <c r="H12" s="14"/>
      <c r="I12" s="14"/>
    </row>
    <row r="14" customFormat="false" ht="18" hidden="false" customHeight="true" outlineLevel="0" collapsed="false">
      <c r="A14" s="33" t="s">
        <v>209</v>
      </c>
      <c r="B14" s="33"/>
      <c r="C14" s="33"/>
      <c r="D14" s="33"/>
      <c r="E14" s="33"/>
      <c r="F14" s="33"/>
      <c r="G14" s="33"/>
      <c r="H14" s="33"/>
      <c r="I14" s="33"/>
    </row>
    <row r="15" customFormat="false" ht="21.75" hidden="false" customHeight="true" outlineLevel="0" collapsed="false">
      <c r="A15" s="29" t="s">
        <v>207</v>
      </c>
      <c r="B15" s="30" t="n">
        <v>2400</v>
      </c>
      <c r="C15" s="30" t="n">
        <v>2600</v>
      </c>
      <c r="D15" s="30" t="n">
        <v>2800</v>
      </c>
      <c r="E15" s="30" t="n">
        <v>3000</v>
      </c>
      <c r="F15" s="30" t="n">
        <v>3200</v>
      </c>
      <c r="G15" s="30" t="n">
        <v>3400</v>
      </c>
      <c r="H15" s="30" t="n">
        <v>3600</v>
      </c>
    </row>
    <row r="16" customFormat="false" ht="15.75" hidden="false" customHeight="true" outlineLevel="0" collapsed="false">
      <c r="A16" s="31" t="n">
        <v>3750000</v>
      </c>
      <c r="B16" s="34" t="n">
        <f aca="false">IF((3750000+3750000*Assumptions!B6+Assumptions!B8+Assumptions!B17+Assumptions!B18+Assumptions!B19+Assumptions!B20+Assumptions!B21+Assumptions!B22+Assumptions!B23+Assumptions!B24+Assumptions!B25+3750000*(Assumptions!B29/12)*Assumptions!B28+Assumptions!B31+(2400*Assumptions!B10*(1+Assumptions!B14*0.25))*Assumptions!B33+Assumptions!B34+Assumptions!B35)=0,0,B4/(3750000+3750000*Assumptions!B6+Assumptions!B8+Assumptions!B17+Assumptions!B18+Assumptions!B19+Assumptions!B20+Assumptions!B21+Assumptions!B22+Assumptions!B23+Assumptions!B24+Assumptions!B25+3750000*(Assumptions!B29/12)*Assumptions!B28+Assumptions!B31+(2400*Assumptions!B10*(1+Assumptions!B14*0.25))*Assumptions!B33+Assumptions!B34+Assumptions!B35))</f>
        <v>-0.000120225506466868</v>
      </c>
      <c r="C16" s="34" t="n">
        <f aca="false">IF((3750000+3750000*Assumptions!B6+Assumptions!B8+Assumptions!B17+Assumptions!B18+Assumptions!B19+Assumptions!B20+Assumptions!B21+Assumptions!B22+Assumptions!B23+Assumptions!B24+Assumptions!B25+3750000*(Assumptions!B29/12)*Assumptions!B28+Assumptions!B31+(2600*Assumptions!B10*(1+Assumptions!B14*0.25))*Assumptions!B33+Assumptions!B34+Assumptions!B35)=0,0,C4/(3750000+3750000*Assumptions!B6+Assumptions!B8+Assumptions!B17+Assumptions!B18+Assumptions!B19+Assumptions!B20+Assumptions!B21+Assumptions!B22+Assumptions!B23+Assumptions!B24+Assumptions!B25+3750000*(Assumptions!B29/12)*Assumptions!B28+Assumptions!B31+(2600*Assumptions!B10*(1+Assumptions!B14*0.25))*Assumptions!B33+Assumptions!B34+Assumptions!B35))</f>
        <v>-0.000119725899583311</v>
      </c>
      <c r="D16" s="34" t="n">
        <f aca="false">IF((3750000+3750000*Assumptions!B6+Assumptions!B8+Assumptions!B17+Assumptions!B18+Assumptions!B19+Assumptions!B20+Assumptions!B21+Assumptions!B22+Assumptions!B23+Assumptions!B24+Assumptions!B25+3750000*(Assumptions!B29/12)*Assumptions!B28+Assumptions!B31+(2800*Assumptions!B10*(1+Assumptions!B14*0.25))*Assumptions!B33+Assumptions!B34+Assumptions!B35)=0,0,D4/(3750000+3750000*Assumptions!B6+Assumptions!B8+Assumptions!B17+Assumptions!B18+Assumptions!B19+Assumptions!B20+Assumptions!B21+Assumptions!B22+Assumptions!B23+Assumptions!B24+Assumptions!B25+3750000*(Assumptions!B29/12)*Assumptions!B28+Assumptions!B31+(2800*Assumptions!B10*(1+Assumptions!B14*0.25))*Assumptions!B33+Assumptions!B34+Assumptions!B35))</f>
        <v>-0.000119226292699755</v>
      </c>
      <c r="E16" s="34" t="n">
        <f aca="false">IF((3750000+3750000*Assumptions!B6+Assumptions!B8+Assumptions!B17+Assumptions!B18+Assumptions!B19+Assumptions!B20+Assumptions!B21+Assumptions!B22+Assumptions!B23+Assumptions!B24+Assumptions!B25+3750000*(Assumptions!B29/12)*Assumptions!B28+Assumptions!B31+(3000*Assumptions!B10*(1+Assumptions!B14*0.25))*Assumptions!B33+Assumptions!B34+Assumptions!B35)=0,0,E4/(3750000+3750000*Assumptions!B6+Assumptions!B8+Assumptions!B17+Assumptions!B18+Assumptions!B19+Assumptions!B20+Assumptions!B21+Assumptions!B22+Assumptions!B23+Assumptions!B24+Assumptions!B25+3750000*(Assumptions!B29/12)*Assumptions!B28+Assumptions!B31+(3000*Assumptions!B10*(1+Assumptions!B14*0.25))*Assumptions!B33+Assumptions!B34+Assumptions!B35))</f>
        <v>-0.99998743312155</v>
      </c>
      <c r="F16" s="34" t="n">
        <f aca="false">IF((3750000+3750000*Assumptions!B6+Assumptions!B8+Assumptions!B17+Assumptions!B18+Assumptions!B19+Assumptions!B20+Assumptions!B21+Assumptions!B22+Assumptions!B23+Assumptions!B24+Assumptions!B25+3750000*(Assumptions!B29/12)*Assumptions!B28+Assumptions!B31+(3200*Assumptions!B10*(1+Assumptions!B14*0.25))*Assumptions!B33+Assumptions!B34+Assumptions!B35)=0,0,F4/(3750000+3750000*Assumptions!B6+Assumptions!B8+Assumptions!B17+Assumptions!B18+Assumptions!B19+Assumptions!B20+Assumptions!B21+Assumptions!B22+Assumptions!B23+Assumptions!B24+Assumptions!B25+3750000*(Assumptions!B29/12)*Assumptions!B28+Assumptions!B31+(3200*Assumptions!B10*(1+Assumptions!B14*0.25))*Assumptions!B33+Assumptions!B34+Assumptions!B35))</f>
        <v>-0.999986595329653</v>
      </c>
      <c r="G16" s="34" t="n">
        <f aca="false">IF((3750000+3750000*Assumptions!B6+Assumptions!B8+Assumptions!B17+Assumptions!B18+Assumptions!B19+Assumptions!B20+Assumptions!B21+Assumptions!B22+Assumptions!B23+Assumptions!B24+Assumptions!B25+3750000*(Assumptions!B29/12)*Assumptions!B28+Assumptions!B31+(3400*Assumptions!B10*(1+Assumptions!B14*0.25))*Assumptions!B33+Assumptions!B34+Assumptions!B35)=0,0,G4/(3750000+3750000*Assumptions!B6+Assumptions!B8+Assumptions!B17+Assumptions!B18+Assumptions!B19+Assumptions!B20+Assumptions!B21+Assumptions!B22+Assumptions!B23+Assumptions!B24+Assumptions!B25+3750000*(Assumptions!B29/12)*Assumptions!B28+Assumptions!B31+(3400*Assumptions!B10*(1+Assumptions!B14*0.25))*Assumptions!B33+Assumptions!B34+Assumptions!B35))</f>
        <v>-0.999985757537756</v>
      </c>
      <c r="H16" s="34" t="n">
        <f aca="false">IF((3750000+3750000*Assumptions!B6+Assumptions!B8+Assumptions!B17+Assumptions!B18+Assumptions!B19+Assumptions!B20+Assumptions!B21+Assumptions!B22+Assumptions!B23+Assumptions!B24+Assumptions!B25+3750000*(Assumptions!B29/12)*Assumptions!B28+Assumptions!B31+(3600*Assumptions!B10*(1+Assumptions!B14*0.25))*Assumptions!B33+Assumptions!B34+Assumptions!B35)=0,0,H4/(3750000+3750000*Assumptions!B6+Assumptions!B8+Assumptions!B17+Assumptions!B18+Assumptions!B19+Assumptions!B20+Assumptions!B21+Assumptions!B22+Assumptions!B23+Assumptions!B24+Assumptions!B25+3750000*(Assumptions!B29/12)*Assumptions!B28+Assumptions!B31+(3600*Assumptions!B10*(1+Assumptions!B14*0.25))*Assumptions!B33+Assumptions!B34+Assumptions!B35))</f>
        <v>-0.999984919745859</v>
      </c>
    </row>
    <row r="17" customFormat="false" ht="15.75" hidden="false" customHeight="true" outlineLevel="0" collapsed="false">
      <c r="A17" s="31" t="n">
        <v>4000000</v>
      </c>
      <c r="B17" s="34" t="n">
        <f aca="false">IF((4000000+4000000*Assumptions!B6+Assumptions!B8+Assumptions!B17+Assumptions!B18+Assumptions!B19+Assumptions!B20+Assumptions!B21+Assumptions!B22+Assumptions!B23+Assumptions!B24+Assumptions!B25+4000000*(Assumptions!B29/12)*Assumptions!B28+Assumptions!B31+(2400*Assumptions!B10*(1+Assumptions!B14*0.25))*Assumptions!B33+Assumptions!B34+Assumptions!B35)=0,0,B5/(4000000+4000000*Assumptions!B6+Assumptions!B8+Assumptions!B17+Assumptions!B18+Assumptions!B19+Assumptions!B20+Assumptions!B21+Assumptions!B22+Assumptions!B23+Assumptions!B24+Assumptions!B25+4000000*(Assumptions!B29/12)*Assumptions!B28+Assumptions!B31+(2400*Assumptions!B10*(1+Assumptions!B14*0.25))*Assumptions!B33+Assumptions!B34+Assumptions!B35))</f>
        <v>-0.000120569219925029</v>
      </c>
      <c r="C17" s="34" t="n">
        <f aca="false">IF((4000000+4000000*Assumptions!B6+Assumptions!B8+Assumptions!B17+Assumptions!B18+Assumptions!B19+Assumptions!B20+Assumptions!B21+Assumptions!B22+Assumptions!B23+Assumptions!B24+Assumptions!B25+4000000*(Assumptions!B29/12)*Assumptions!B28+Assumptions!B31+(2600*Assumptions!B10*(1+Assumptions!B14*0.25))*Assumptions!B33+Assumptions!B34+Assumptions!B35)=0,0,C5/(4000000+4000000*Assumptions!B6+Assumptions!B8+Assumptions!B17+Assumptions!B18+Assumptions!B19+Assumptions!B20+Assumptions!B21+Assumptions!B22+Assumptions!B23+Assumptions!B24+Assumptions!B25+4000000*(Assumptions!B29/12)*Assumptions!B28+Assumptions!B31+(2600*Assumptions!B10*(1+Assumptions!B14*0.25))*Assumptions!B33+Assumptions!B34+Assumptions!B35))</f>
        <v>-0.000120100838443727</v>
      </c>
      <c r="D17" s="34" t="n">
        <f aca="false">IF((4000000+4000000*Assumptions!B6+Assumptions!B8+Assumptions!B17+Assumptions!B18+Assumptions!B19+Assumptions!B20+Assumptions!B21+Assumptions!B22+Assumptions!B23+Assumptions!B24+Assumptions!B25+4000000*(Assumptions!B29/12)*Assumptions!B28+Assumptions!B31+(2800*Assumptions!B10*(1+Assumptions!B14*0.25))*Assumptions!B33+Assumptions!B34+Assumptions!B35)=0,0,D5/(4000000+4000000*Assumptions!B6+Assumptions!B8+Assumptions!B17+Assumptions!B18+Assumptions!B19+Assumptions!B20+Assumptions!B21+Assumptions!B22+Assumptions!B23+Assumptions!B24+Assumptions!B25+4000000*(Assumptions!B29/12)*Assumptions!B28+Assumptions!B31+(2800*Assumptions!B10*(1+Assumptions!B14*0.25))*Assumptions!B33+Assumptions!B34+Assumptions!B35))</f>
        <v>-0.000119632456962426</v>
      </c>
      <c r="E17" s="34" t="n">
        <f aca="false">IF((4000000+4000000*Assumptions!B6+Assumptions!B8+Assumptions!B17+Assumptions!B18+Assumptions!B19+Assumptions!B20+Assumptions!B21+Assumptions!B22+Assumptions!B23+Assumptions!B24+Assumptions!B25+4000000*(Assumptions!B29/12)*Assumptions!B28+Assumptions!B31+(3000*Assumptions!B10*(1+Assumptions!B14*0.25))*Assumptions!B33+Assumptions!B34+Assumptions!B35)=0,0,E5/(4000000+4000000*Assumptions!B6+Assumptions!B8+Assumptions!B17+Assumptions!B18+Assumptions!B19+Assumptions!B20+Assumptions!B21+Assumptions!B22+Assumptions!B23+Assumptions!B24+Assumptions!B25+4000000*(Assumptions!B29/12)*Assumptions!B28+Assumptions!B31+(3000*Assumptions!B10*(1+Assumptions!B14*0.25))*Assumptions!B33+Assumptions!B34+Assumptions!B35))</f>
        <v>-0.999988218550749</v>
      </c>
      <c r="F17" s="34" t="n">
        <f aca="false">IF((4000000+4000000*Assumptions!B6+Assumptions!B8+Assumptions!B17+Assumptions!B18+Assumptions!B19+Assumptions!B20+Assumptions!B21+Assumptions!B22+Assumptions!B23+Assumptions!B24+Assumptions!B25+4000000*(Assumptions!B29/12)*Assumptions!B28+Assumptions!B31+(3200*Assumptions!B10*(1+Assumptions!B14*0.25))*Assumptions!B33+Assumptions!B34+Assumptions!B35)=0,0,F5/(4000000+4000000*Assumptions!B6+Assumptions!B8+Assumptions!B17+Assumptions!B18+Assumptions!B19+Assumptions!B20+Assumptions!B21+Assumptions!B22+Assumptions!B23+Assumptions!B24+Assumptions!B25+4000000*(Assumptions!B29/12)*Assumptions!B28+Assumptions!B31+(3200*Assumptions!B10*(1+Assumptions!B14*0.25))*Assumptions!B33+Assumptions!B34+Assumptions!B35))</f>
        <v>-0.999987433120799</v>
      </c>
      <c r="G17" s="34" t="n">
        <f aca="false">IF((4000000+4000000*Assumptions!B6+Assumptions!B8+Assumptions!B17+Assumptions!B18+Assumptions!B19+Assumptions!B20+Assumptions!B21+Assumptions!B22+Assumptions!B23+Assumptions!B24+Assumptions!B25+4000000*(Assumptions!B29/12)*Assumptions!B28+Assumptions!B31+(3400*Assumptions!B10*(1+Assumptions!B14*0.25))*Assumptions!B33+Assumptions!B34+Assumptions!B35)=0,0,G5/(4000000+4000000*Assumptions!B6+Assumptions!B8+Assumptions!B17+Assumptions!B18+Assumptions!B19+Assumptions!B20+Assumptions!B21+Assumptions!B22+Assumptions!B23+Assumptions!B24+Assumptions!B25+4000000*(Assumptions!B29/12)*Assumptions!B28+Assumptions!B31+(3400*Assumptions!B10*(1+Assumptions!B14*0.25))*Assumptions!B33+Assumptions!B34+Assumptions!B35))</f>
        <v>-0.999986647690849</v>
      </c>
      <c r="H17" s="34" t="n">
        <f aca="false">IF((4000000+4000000*Assumptions!B6+Assumptions!B8+Assumptions!B17+Assumptions!B18+Assumptions!B19+Assumptions!B20+Assumptions!B21+Assumptions!B22+Assumptions!B23+Assumptions!B24+Assumptions!B25+4000000*(Assumptions!B29/12)*Assumptions!B28+Assumptions!B31+(3600*Assumptions!B10*(1+Assumptions!B14*0.25))*Assumptions!B33+Assumptions!B34+Assumptions!B35)=0,0,H5/(4000000+4000000*Assumptions!B6+Assumptions!B8+Assumptions!B17+Assumptions!B18+Assumptions!B19+Assumptions!B20+Assumptions!B21+Assumptions!B22+Assumptions!B23+Assumptions!B24+Assumptions!B25+4000000*(Assumptions!B29/12)*Assumptions!B28+Assumptions!B31+(3600*Assumptions!B10*(1+Assumptions!B14*0.25))*Assumptions!B33+Assumptions!B34+Assumptions!B35))</f>
        <v>-0.999985862260899</v>
      </c>
    </row>
    <row r="18" customFormat="false" ht="15.75" hidden="false" customHeight="true" outlineLevel="0" collapsed="false">
      <c r="A18" s="31" t="n">
        <v>4250000</v>
      </c>
      <c r="B18" s="34" t="n">
        <f aca="false">IF((4250000+4250000*Assumptions!B6+Assumptions!B8+Assumptions!B17+Assumptions!B18+Assumptions!B19+Assumptions!B20+Assumptions!B21+Assumptions!B22+Assumptions!B23+Assumptions!B24+Assumptions!B25+4250000*(Assumptions!B29/12)*Assumptions!B28+Assumptions!B31+(2400*Assumptions!B10*(1+Assumptions!B14*0.25))*Assumptions!B33+Assumptions!B34+Assumptions!B35)=0,0,B6/(4250000+4250000*Assumptions!B6+Assumptions!B8+Assumptions!B17+Assumptions!B18+Assumptions!B19+Assumptions!B20+Assumptions!B21+Assumptions!B22+Assumptions!B23+Assumptions!B24+Assumptions!B25+4250000*(Assumptions!B29/12)*Assumptions!B28+Assumptions!B31+(2400*Assumptions!B10*(1+Assumptions!B14*0.25))*Assumptions!B33+Assumptions!B34+Assumptions!B35))</f>
        <v>-0.000120872496539846</v>
      </c>
      <c r="C18" s="34" t="n">
        <f aca="false">IF((4250000+4250000*Assumptions!B6+Assumptions!B8+Assumptions!B17+Assumptions!B18+Assumptions!B19+Assumptions!B20+Assumptions!B21+Assumptions!B22+Assumptions!B23+Assumptions!B24+Assumptions!B25+4250000*(Assumptions!B29/12)*Assumptions!B28+Assumptions!B31+(2600*Assumptions!B10*(1+Assumptions!B14*0.25))*Assumptions!B33+Assumptions!B34+Assumptions!B35)=0,0,C6/(4250000+4250000*Assumptions!B6+Assumptions!B8+Assumptions!B17+Assumptions!B18+Assumptions!B19+Assumptions!B20+Assumptions!B21+Assumptions!B22+Assumptions!B23+Assumptions!B24+Assumptions!B25+4250000*(Assumptions!B29/12)*Assumptions!B28+Assumptions!B31+(2600*Assumptions!B10*(1+Assumptions!B14*0.25))*Assumptions!B33+Assumptions!B34+Assumptions!B35))</f>
        <v>-0.00012043166688716</v>
      </c>
      <c r="D18" s="34" t="n">
        <f aca="false">IF((4250000+4250000*Assumptions!B6+Assumptions!B8+Assumptions!B17+Assumptions!B18+Assumptions!B19+Assumptions!B20+Assumptions!B21+Assumptions!B22+Assumptions!B23+Assumptions!B24+Assumptions!B25+4250000*(Assumptions!B29/12)*Assumptions!B28+Assumptions!B31+(2800*Assumptions!B10*(1+Assumptions!B14*0.25))*Assumptions!B33+Assumptions!B34+Assumptions!B35)=0,0,D6/(4250000+4250000*Assumptions!B6+Assumptions!B8+Assumptions!B17+Assumptions!B18+Assumptions!B19+Assumptions!B20+Assumptions!B21+Assumptions!B22+Assumptions!B23+Assumptions!B24+Assumptions!B25+4250000*(Assumptions!B29/12)*Assumptions!B28+Assumptions!B31+(2800*Assumptions!B10*(1+Assumptions!B14*0.25))*Assumptions!B33+Assumptions!B34+Assumptions!B35))</f>
        <v>-0.000119990837234475</v>
      </c>
      <c r="E18" s="34" t="n">
        <f aca="false">IF((4250000+4250000*Assumptions!B6+Assumptions!B8+Assumptions!B17+Assumptions!B18+Assumptions!B19+Assumptions!B20+Assumptions!B21+Assumptions!B22+Assumptions!B23+Assumptions!B24+Assumptions!B25+4250000*(Assumptions!B29/12)*Assumptions!B28+Assumptions!B31+(3000*Assumptions!B10*(1+Assumptions!B14*0.25))*Assumptions!B33+Assumptions!B34+Assumptions!B35)=0,0,E6/(4250000+4250000*Assumptions!B6+Assumptions!B8+Assumptions!B17+Assumptions!B18+Assumptions!B19+Assumptions!B20+Assumptions!B21+Assumptions!B22+Assumptions!B23+Assumptions!B24+Assumptions!B25+4250000*(Assumptions!B29/12)*Assumptions!B28+Assumptions!B31+(3000*Assumptions!B10*(1+Assumptions!B14*0.25))*Assumptions!B33+Assumptions!B34+Assumptions!B35))</f>
        <v>-0.999988911576591</v>
      </c>
      <c r="F18" s="34" t="n">
        <f aca="false">IF((4250000+4250000*Assumptions!B6+Assumptions!B8+Assumptions!B17+Assumptions!B18+Assumptions!B19+Assumptions!B20+Assumptions!B21+Assumptions!B22+Assumptions!B23+Assumptions!B24+Assumptions!B25+4250000*(Assumptions!B29/12)*Assumptions!B28+Assumptions!B31+(3200*Assumptions!B10*(1+Assumptions!B14*0.25))*Assumptions!B33+Assumptions!B34+Assumptions!B35)=0,0,F6/(4250000+4250000*Assumptions!B6+Assumptions!B8+Assumptions!B17+Assumptions!B18+Assumptions!B19+Assumptions!B20+Assumptions!B21+Assumptions!B22+Assumptions!B23+Assumptions!B24+Assumptions!B25+4250000*(Assumptions!B29/12)*Assumptions!B28+Assumptions!B31+(3200*Assumptions!B10*(1+Assumptions!B14*0.25))*Assumptions!B33+Assumptions!B34+Assumptions!B35))</f>
        <v>-0.999988172348364</v>
      </c>
      <c r="G18" s="34" t="n">
        <f aca="false">IF((4250000+4250000*Assumptions!B6+Assumptions!B8+Assumptions!B17+Assumptions!B18+Assumptions!B19+Assumptions!B20+Assumptions!B21+Assumptions!B22+Assumptions!B23+Assumptions!B24+Assumptions!B25+4250000*(Assumptions!B29/12)*Assumptions!B28+Assumptions!B31+(3400*Assumptions!B10*(1+Assumptions!B14*0.25))*Assumptions!B33+Assumptions!B34+Assumptions!B35)=0,0,G6/(4250000+4250000*Assumptions!B6+Assumptions!B8+Assumptions!B17+Assumptions!B18+Assumptions!B19+Assumptions!B20+Assumptions!B21+Assumptions!B22+Assumptions!B23+Assumptions!B24+Assumptions!B25+4250000*(Assumptions!B29/12)*Assumptions!B28+Assumptions!B31+(3400*Assumptions!B10*(1+Assumptions!B14*0.25))*Assumptions!B33+Assumptions!B34+Assumptions!B35))</f>
        <v>-0.999987433120137</v>
      </c>
      <c r="H18" s="34" t="n">
        <f aca="false">IF((4250000+4250000*Assumptions!B6+Assumptions!B8+Assumptions!B17+Assumptions!B18+Assumptions!B19+Assumptions!B20+Assumptions!B21+Assumptions!B22+Assumptions!B23+Assumptions!B24+Assumptions!B25+4250000*(Assumptions!B29/12)*Assumptions!B28+Assumptions!B31+(3600*Assumptions!B10*(1+Assumptions!B14*0.25))*Assumptions!B33+Assumptions!B34+Assumptions!B35)=0,0,H6/(4250000+4250000*Assumptions!B6+Assumptions!B8+Assumptions!B17+Assumptions!B18+Assumptions!B19+Assumptions!B20+Assumptions!B21+Assumptions!B22+Assumptions!B23+Assumptions!B24+Assumptions!B25+4250000*(Assumptions!B29/12)*Assumptions!B28+Assumptions!B31+(3600*Assumptions!B10*(1+Assumptions!B14*0.25))*Assumptions!B33+Assumptions!B34+Assumptions!B35))</f>
        <v>-0.99998669389191</v>
      </c>
    </row>
    <row r="19" customFormat="false" ht="15.75" hidden="false" customHeight="true" outlineLevel="0" collapsed="false">
      <c r="A19" s="31" t="n">
        <v>4500000</v>
      </c>
      <c r="B19" s="34" t="n">
        <f aca="false">IF((4500000+4500000*Assumptions!B6+Assumptions!B8+Assumptions!B17+Assumptions!B18+Assumptions!B19+Assumptions!B20+Assumptions!B21+Assumptions!B22+Assumptions!B23+Assumptions!B24+Assumptions!B25+4500000*(Assumptions!B29/12)*Assumptions!B28+Assumptions!B31+(2400*Assumptions!B10*(1+Assumptions!B14*0.25))*Assumptions!B33+Assumptions!B34+Assumptions!B35)=0,0,B7/(4500000+4500000*Assumptions!B6+Assumptions!B8+Assumptions!B17+Assumptions!B18+Assumptions!B19+Assumptions!B20+Assumptions!B21+Assumptions!B22+Assumptions!B23+Assumptions!B24+Assumptions!B25+4500000*(Assumptions!B29/12)*Assumptions!B28+Assumptions!B31+(2400*Assumptions!B10*(1+Assumptions!B14*0.25))*Assumptions!B33+Assumptions!B34+Assumptions!B35))</f>
        <v>-0.000121142075779844</v>
      </c>
      <c r="C19" s="34" t="n">
        <f aca="false">IF((4500000+4500000*Assumptions!B6+Assumptions!B8+Assumptions!B17+Assumptions!B18+Assumptions!B19+Assumptions!B20+Assumptions!B21+Assumptions!B22+Assumptions!B23+Assumptions!B24+Assumptions!B25+4500000*(Assumptions!B29/12)*Assumptions!B28+Assumptions!B31+(2600*Assumptions!B10*(1+Assumptions!B14*0.25))*Assumptions!B33+Assumptions!B34+Assumptions!B35)=0,0,C7/(4500000+4500000*Assumptions!B6+Assumptions!B8+Assumptions!B17+Assumptions!B18+Assumptions!B19+Assumptions!B20+Assumptions!B21+Assumptions!B22+Assumptions!B23+Assumptions!B24+Assumptions!B25+4500000*(Assumptions!B29/12)*Assumptions!B28+Assumptions!B31+(2600*Assumptions!B10*(1+Assumptions!B14*0.25))*Assumptions!B33+Assumptions!B34+Assumptions!B35))</f>
        <v>-0.000120725736643921</v>
      </c>
      <c r="D19" s="34" t="n">
        <f aca="false">IF((4500000+4500000*Assumptions!B6+Assumptions!B8+Assumptions!B17+Assumptions!B18+Assumptions!B19+Assumptions!B20+Assumptions!B21+Assumptions!B22+Assumptions!B23+Assumptions!B24+Assumptions!B25+4500000*(Assumptions!B29/12)*Assumptions!B28+Assumptions!B31+(2800*Assumptions!B10*(1+Assumptions!B14*0.25))*Assumptions!B33+Assumptions!B34+Assumptions!B35)=0,0,D7/(4500000+4500000*Assumptions!B6+Assumptions!B8+Assumptions!B17+Assumptions!B18+Assumptions!B19+Assumptions!B20+Assumptions!B21+Assumptions!B22+Assumptions!B23+Assumptions!B24+Assumptions!B25+4500000*(Assumptions!B29/12)*Assumptions!B28+Assumptions!B31+(2800*Assumptions!B10*(1+Assumptions!B14*0.25))*Assumptions!B33+Assumptions!B34+Assumptions!B35))</f>
        <v>-0.000120309397507998</v>
      </c>
      <c r="E19" s="34" t="n">
        <f aca="false">IF((4500000+4500000*Assumptions!B6+Assumptions!B8+Assumptions!B17+Assumptions!B18+Assumptions!B19+Assumptions!B20+Assumptions!B21+Assumptions!B22+Assumptions!B23+Assumptions!B24+Assumptions!B25+4500000*(Assumptions!B29/12)*Assumptions!B28+Assumptions!B31+(3000*Assumptions!B10*(1+Assumptions!B14*0.25))*Assumptions!B33+Assumptions!B34+Assumptions!B35)=0,0,E7/(4500000+4500000*Assumptions!B6+Assumptions!B8+Assumptions!B17+Assumptions!B18+Assumptions!B19+Assumptions!B20+Assumptions!B21+Assumptions!B22+Assumptions!B23+Assumptions!B24+Assumptions!B25+4500000*(Assumptions!B29/12)*Assumptions!B28+Assumptions!B31+(3000*Assumptions!B10*(1+Assumptions!B14*0.25))*Assumptions!B33+Assumptions!B34+Assumptions!B35))</f>
        <v>-0.999989527599624</v>
      </c>
      <c r="F19" s="34" t="n">
        <f aca="false">IF((4500000+4500000*Assumptions!B6+Assumptions!B8+Assumptions!B17+Assumptions!B18+Assumptions!B19+Assumptions!B20+Assumptions!B21+Assumptions!B22+Assumptions!B23+Assumptions!B24+Assumptions!B25+4500000*(Assumptions!B29/12)*Assumptions!B28+Assumptions!B31+(3200*Assumptions!B10*(1+Assumptions!B14*0.25))*Assumptions!B33+Assumptions!B34+Assumptions!B35)=0,0,F7/(4500000+4500000*Assumptions!B6+Assumptions!B8+Assumptions!B17+Assumptions!B18+Assumptions!B19+Assumptions!B20+Assumptions!B21+Assumptions!B22+Assumptions!B23+Assumptions!B24+Assumptions!B25+4500000*(Assumptions!B29/12)*Assumptions!B28+Assumptions!B31+(3200*Assumptions!B10*(1+Assumptions!B14*0.25))*Assumptions!B33+Assumptions!B34+Assumptions!B35))</f>
        <v>-0.999988829439599</v>
      </c>
      <c r="G19" s="34" t="n">
        <f aca="false">IF((4500000+4500000*Assumptions!B6+Assumptions!B8+Assumptions!B17+Assumptions!B18+Assumptions!B19+Assumptions!B20+Assumptions!B21+Assumptions!B22+Assumptions!B23+Assumptions!B24+Assumptions!B25+4500000*(Assumptions!B29/12)*Assumptions!B28+Assumptions!B31+(3400*Assumptions!B10*(1+Assumptions!B14*0.25))*Assumptions!B33+Assumptions!B34+Assumptions!B35)=0,0,G7/(4500000+4500000*Assumptions!B6+Assumptions!B8+Assumptions!B17+Assumptions!B18+Assumptions!B19+Assumptions!B20+Assumptions!B21+Assumptions!B22+Assumptions!B23+Assumptions!B24+Assumptions!B25+4500000*(Assumptions!B29/12)*Assumptions!B28+Assumptions!B31+(3400*Assumptions!B10*(1+Assumptions!B14*0.25))*Assumptions!B33+Assumptions!B34+Assumptions!B35))</f>
        <v>-0.999988131279574</v>
      </c>
      <c r="H19" s="34" t="n">
        <f aca="false">IF((4500000+4500000*Assumptions!B6+Assumptions!B8+Assumptions!B17+Assumptions!B18+Assumptions!B19+Assumptions!B20+Assumptions!B21+Assumptions!B22+Assumptions!B23+Assumptions!B24+Assumptions!B25+4500000*(Assumptions!B29/12)*Assumptions!B28+Assumptions!B31+(3600*Assumptions!B10*(1+Assumptions!B14*0.25))*Assumptions!B33+Assumptions!B34+Assumptions!B35)=0,0,H7/(4500000+4500000*Assumptions!B6+Assumptions!B8+Assumptions!B17+Assumptions!B18+Assumptions!B19+Assumptions!B20+Assumptions!B21+Assumptions!B22+Assumptions!B23+Assumptions!B24+Assumptions!B25+4500000*(Assumptions!B29/12)*Assumptions!B28+Assumptions!B31+(3600*Assumptions!B10*(1+Assumptions!B14*0.25))*Assumptions!B33+Assumptions!B34+Assumptions!B35))</f>
        <v>-0.999987433119548</v>
      </c>
    </row>
    <row r="20" customFormat="false" ht="15.75" hidden="false" customHeight="true" outlineLevel="0" collapsed="false">
      <c r="A20" s="31" t="n">
        <v>4750000</v>
      </c>
      <c r="B20" s="34" t="n">
        <f aca="false">IF((4750000+4750000*Assumptions!B6+Assumptions!B8+Assumptions!B17+Assumptions!B18+Assumptions!B19+Assumptions!B20+Assumptions!B21+Assumptions!B22+Assumptions!B23+Assumptions!B24+Assumptions!B25+4750000*(Assumptions!B29/12)*Assumptions!B28+Assumptions!B31+(2400*Assumptions!B10*(1+Assumptions!B14*0.25))*Assumptions!B33+Assumptions!B34+Assumptions!B35)=0,0,B8/(4750000+4750000*Assumptions!B6+Assumptions!B8+Assumptions!B17+Assumptions!B18+Assumptions!B19+Assumptions!B20+Assumptions!B21+Assumptions!B22+Assumptions!B23+Assumptions!B24+Assumptions!B25+4750000*(Assumptions!B29/12)*Assumptions!B28+Assumptions!B31+(2400*Assumptions!B10*(1+Assumptions!B14*0.25))*Assumptions!B33+Assumptions!B34+Assumptions!B35))</f>
        <v>-0.000121383278279141</v>
      </c>
      <c r="C20" s="34" t="n">
        <f aca="false">IF((4750000+4750000*Assumptions!B6+Assumptions!B8+Assumptions!B17+Assumptions!B18+Assumptions!B19+Assumptions!B20+Assumptions!B21+Assumptions!B22+Assumptions!B23+Assumptions!B24+Assumptions!B25+4750000*(Assumptions!B29/12)*Assumptions!B28+Assumptions!B31+(2600*Assumptions!B10*(1+Assumptions!B14*0.25))*Assumptions!B33+Assumptions!B34+Assumptions!B35)=0,0,C8/(4750000+4750000*Assumptions!B6+Assumptions!B8+Assumptions!B17+Assumptions!B18+Assumptions!B19+Assumptions!B20+Assumptions!B21+Assumptions!B22+Assumptions!B23+Assumptions!B24+Assumptions!B25+4750000*(Assumptions!B29/12)*Assumptions!B28+Assumptions!B31+(2600*Assumptions!B10*(1+Assumptions!B14*0.25))*Assumptions!B33+Assumptions!B34+Assumptions!B35))</f>
        <v>-0.000120988851712792</v>
      </c>
      <c r="D20" s="34" t="n">
        <f aca="false">IF((4750000+4750000*Assumptions!B6+Assumptions!B8+Assumptions!B17+Assumptions!B18+Assumptions!B19+Assumptions!B20+Assumptions!B21+Assumptions!B22+Assumptions!B23+Assumptions!B24+Assumptions!B25+4750000*(Assumptions!B29/12)*Assumptions!B28+Assumptions!B31+(2800*Assumptions!B10*(1+Assumptions!B14*0.25))*Assumptions!B33+Assumptions!B34+Assumptions!B35)=0,0,D8/(4750000+4750000*Assumptions!B6+Assumptions!B8+Assumptions!B17+Assumptions!B18+Assumptions!B19+Assumptions!B20+Assumptions!B21+Assumptions!B22+Assumptions!B23+Assumptions!B24+Assumptions!B25+4750000*(Assumptions!B29/12)*Assumptions!B28+Assumptions!B31+(2800*Assumptions!B10*(1+Assumptions!B14*0.25))*Assumptions!B33+Assumptions!B34+Assumptions!B35))</f>
        <v>-0.000120594425146442</v>
      </c>
      <c r="E20" s="34" t="n">
        <f aca="false">IF((4750000+4750000*Assumptions!B6+Assumptions!B8+Assumptions!B17+Assumptions!B18+Assumptions!B19+Assumptions!B20+Assumptions!B21+Assumptions!B22+Assumptions!B23+Assumptions!B24+Assumptions!B25+4750000*(Assumptions!B29/12)*Assumptions!B28+Assumptions!B31+(3000*Assumptions!B10*(1+Assumptions!B14*0.25))*Assumptions!B33+Assumptions!B34+Assumptions!B35)=0,0,E8/(4750000+4750000*Assumptions!B6+Assumptions!B8+Assumptions!B17+Assumptions!B18+Assumptions!B19+Assumptions!B20+Assumptions!B21+Assumptions!B22+Assumptions!B23+Assumptions!B24+Assumptions!B25+4750000*(Assumptions!B29/12)*Assumptions!B28+Assumptions!B31+(3000*Assumptions!B10*(1+Assumptions!B14*0.25))*Assumptions!B33+Assumptions!B34+Assumptions!B35))</f>
        <v>-0.999990078778175</v>
      </c>
      <c r="F20" s="34" t="n">
        <f aca="false">IF((4750000+4750000*Assumptions!B6+Assumptions!B8+Assumptions!B17+Assumptions!B18+Assumptions!B19+Assumptions!B20+Assumptions!B21+Assumptions!B22+Assumptions!B23+Assumptions!B24+Assumptions!B25+4750000*(Assumptions!B29/12)*Assumptions!B28+Assumptions!B31+(3200*Assumptions!B10*(1+Assumptions!B14*0.25))*Assumptions!B33+Assumptions!B34+Assumptions!B35)=0,0,F8/(4750000+4750000*Assumptions!B6+Assumptions!B8+Assumptions!B17+Assumptions!B18+Assumptions!B19+Assumptions!B20+Assumptions!B21+Assumptions!B22+Assumptions!B23+Assumptions!B24+Assumptions!B25+4750000*(Assumptions!B29/12)*Assumptions!B28+Assumptions!B31+(3200*Assumptions!B10*(1+Assumptions!B14*0.25))*Assumptions!B33+Assumptions!B34+Assumptions!B35))</f>
        <v>-0.999989417363387</v>
      </c>
      <c r="G20" s="34" t="n">
        <f aca="false">IF((4750000+4750000*Assumptions!B6+Assumptions!B8+Assumptions!B17+Assumptions!B18+Assumptions!B19+Assumptions!B20+Assumptions!B21+Assumptions!B22+Assumptions!B23+Assumptions!B24+Assumptions!B25+4750000*(Assumptions!B29/12)*Assumptions!B28+Assumptions!B31+(3400*Assumptions!B10*(1+Assumptions!B14*0.25))*Assumptions!B33+Assumptions!B34+Assumptions!B35)=0,0,G8/(4750000+4750000*Assumptions!B6+Assumptions!B8+Assumptions!B17+Assumptions!B18+Assumptions!B19+Assumptions!B20+Assumptions!B21+Assumptions!B22+Assumptions!B23+Assumptions!B24+Assumptions!B25+4750000*(Assumptions!B29/12)*Assumptions!B28+Assumptions!B31+(3400*Assumptions!B10*(1+Assumptions!B14*0.25))*Assumptions!B33+Assumptions!B34+Assumptions!B35))</f>
        <v>-0.999988755948599</v>
      </c>
      <c r="H20" s="34" t="n">
        <f aca="false">IF((4750000+4750000*Assumptions!B6+Assumptions!B8+Assumptions!B17+Assumptions!B18+Assumptions!B19+Assumptions!B20+Assumptions!B21+Assumptions!B22+Assumptions!B23+Assumptions!B24+Assumptions!B25+4750000*(Assumptions!B29/12)*Assumptions!B28+Assumptions!B31+(3600*Assumptions!B10*(1+Assumptions!B14*0.25))*Assumptions!B33+Assumptions!B34+Assumptions!B35)=0,0,H8/(4750000+4750000*Assumptions!B6+Assumptions!B8+Assumptions!B17+Assumptions!B18+Assumptions!B19+Assumptions!B20+Assumptions!B21+Assumptions!B22+Assumptions!B23+Assumptions!B24+Assumptions!B25+4750000*(Assumptions!B29/12)*Assumptions!B28+Assumptions!B31+(3600*Assumptions!B10*(1+Assumptions!B14*0.25))*Assumptions!B33+Assumptions!B34+Assumptions!B35))</f>
        <v>-0.99998809453381</v>
      </c>
    </row>
    <row r="21" customFormat="false" ht="15.75" hidden="false" customHeight="true" outlineLevel="0" collapsed="false">
      <c r="A21" s="31" t="n">
        <v>5000000</v>
      </c>
      <c r="B21" s="34" t="n">
        <f aca="false">IF((5000000+5000000*Assumptions!B6+Assumptions!B8+Assumptions!B17+Assumptions!B18+Assumptions!B19+Assumptions!B20+Assumptions!B21+Assumptions!B22+Assumptions!B23+Assumptions!B24+Assumptions!B25+5000000*(Assumptions!B29/12)*Assumptions!B28+Assumptions!B31+(2400*Assumptions!B10*(1+Assumptions!B14*0.25))*Assumptions!B33+Assumptions!B34+Assumptions!B35)=0,0,B9/(5000000+5000000*Assumptions!B6+Assumptions!B8+Assumptions!B17+Assumptions!B18+Assumptions!B19+Assumptions!B20+Assumptions!B21+Assumptions!B22+Assumptions!B23+Assumptions!B24+Assumptions!B25+5000000*(Assumptions!B29/12)*Assumptions!B28+Assumptions!B31+(2400*Assumptions!B10*(1+Assumptions!B14*0.25))*Assumptions!B33+Assumptions!B34+Assumptions!B35))</f>
        <v>-0.00012160036054579</v>
      </c>
      <c r="C21" s="34" t="n">
        <f aca="false">IF((5000000+5000000*Assumptions!B6+Assumptions!B8+Assumptions!B17+Assumptions!B18+Assumptions!B19+Assumptions!B20+Assumptions!B21+Assumptions!B22+Assumptions!B23+Assumptions!B24+Assumptions!B25+5000000*(Assumptions!B29/12)*Assumptions!B28+Assumptions!B31+(2600*Assumptions!B10*(1+Assumptions!B14*0.25))*Assumptions!B33+Assumptions!B34+Assumptions!B35)=0,0,C9/(5000000+5000000*Assumptions!B6+Assumptions!B8+Assumptions!B17+Assumptions!B18+Assumptions!B19+Assumptions!B20+Assumptions!B21+Assumptions!B22+Assumptions!B23+Assumptions!B24+Assumptions!B25+5000000*(Assumptions!B29/12)*Assumptions!B28+Assumptions!B31+(2600*Assumptions!B10*(1+Assumptions!B14*0.25))*Assumptions!B33+Assumptions!B34+Assumptions!B35))</f>
        <v>-0.000121225655293628</v>
      </c>
      <c r="D21" s="34" t="n">
        <f aca="false">IF((5000000+5000000*Assumptions!B6+Assumptions!B8+Assumptions!B17+Assumptions!B18+Assumptions!B19+Assumptions!B20+Assumptions!B21+Assumptions!B22+Assumptions!B23+Assumptions!B24+Assumptions!B25+5000000*(Assumptions!B29/12)*Assumptions!B28+Assumptions!B31+(2800*Assumptions!B10*(1+Assumptions!B14*0.25))*Assumptions!B33+Assumptions!B34+Assumptions!B35)=0,0,D9/(5000000+5000000*Assumptions!B6+Assumptions!B8+Assumptions!B17+Assumptions!B18+Assumptions!B19+Assumptions!B20+Assumptions!B21+Assumptions!B22+Assumptions!B23+Assumptions!B24+Assumptions!B25+5000000*(Assumptions!B29/12)*Assumptions!B28+Assumptions!B31+(2800*Assumptions!B10*(1+Assumptions!B14*0.25))*Assumptions!B33+Assumptions!B34+Assumptions!B35))</f>
        <v>-0.000120850950041465</v>
      </c>
      <c r="E21" s="34" t="n">
        <f aca="false">IF((5000000+5000000*Assumptions!B6+Assumptions!B8+Assumptions!B17+Assumptions!B18+Assumptions!B19+Assumptions!B20+Assumptions!B21+Assumptions!B22+Assumptions!B23+Assumptions!B24+Assumptions!B25+5000000*(Assumptions!B29/12)*Assumptions!B28+Assumptions!B31+(3000*Assumptions!B10*(1+Assumptions!B14*0.25))*Assumptions!B33+Assumptions!B34+Assumptions!B35)=0,0,E9/(5000000+5000000*Assumptions!B6+Assumptions!B8+Assumptions!B17+Assumptions!B18+Assumptions!B19+Assumptions!B20+Assumptions!B21+Assumptions!B22+Assumptions!B23+Assumptions!B24+Assumptions!B25+5000000*(Assumptions!B29/12)*Assumptions!B28+Assumptions!B31+(3000*Assumptions!B10*(1+Assumptions!B14*0.25))*Assumptions!B33+Assumptions!B34+Assumptions!B35))</f>
        <v>-0.999990574838911</v>
      </c>
      <c r="F21" s="34" t="n">
        <f aca="false">IF((5000000+5000000*Assumptions!B6+Assumptions!B8+Assumptions!B17+Assumptions!B18+Assumptions!B19+Assumptions!B20+Assumptions!B21+Assumptions!B22+Assumptions!B23+Assumptions!B24+Assumptions!B25+5000000*(Assumptions!B29/12)*Assumptions!B28+Assumptions!B31+(3200*Assumptions!B10*(1+Assumptions!B14*0.25))*Assumptions!B33+Assumptions!B34+Assumptions!B35)=0,0,F9/(5000000+5000000*Assumptions!B6+Assumptions!B8+Assumptions!B17+Assumptions!B18+Assumptions!B19+Assumptions!B20+Assumptions!B21+Assumptions!B22+Assumptions!B23+Assumptions!B24+Assumptions!B25+5000000*(Assumptions!B29/12)*Assumptions!B28+Assumptions!B31+(3200*Assumptions!B10*(1+Assumptions!B14*0.25))*Assumptions!B33+Assumptions!B34+Assumptions!B35))</f>
        <v>-0.999989946494838</v>
      </c>
      <c r="G21" s="34" t="n">
        <f aca="false">IF((5000000+5000000*Assumptions!B6+Assumptions!B8+Assumptions!B17+Assumptions!B18+Assumptions!B19+Assumptions!B20+Assumptions!B21+Assumptions!B22+Assumptions!B23+Assumptions!B24+Assumptions!B25+5000000*(Assumptions!B29/12)*Assumptions!B28+Assumptions!B31+(3400*Assumptions!B10*(1+Assumptions!B14*0.25))*Assumptions!B33+Assumptions!B34+Assumptions!B35)=0,0,G9/(5000000+5000000*Assumptions!B6+Assumptions!B8+Assumptions!B17+Assumptions!B18+Assumptions!B19+Assumptions!B20+Assumptions!B21+Assumptions!B22+Assumptions!B23+Assumptions!B24+Assumptions!B25+5000000*(Assumptions!B29/12)*Assumptions!B28+Assumptions!B31+(3400*Assumptions!B10*(1+Assumptions!B14*0.25))*Assumptions!B33+Assumptions!B34+Assumptions!B35))</f>
        <v>-0.999989318150766</v>
      </c>
      <c r="H21" s="34" t="n">
        <f aca="false">IF((5000000+5000000*Assumptions!B6+Assumptions!B8+Assumptions!B17+Assumptions!B18+Assumptions!B19+Assumptions!B20+Assumptions!B21+Assumptions!B22+Assumptions!B23+Assumptions!B24+Assumptions!B25+5000000*(Assumptions!B29/12)*Assumptions!B28+Assumptions!B31+(3600*Assumptions!B10*(1+Assumptions!B14*0.25))*Assumptions!B33+Assumptions!B34+Assumptions!B35)=0,0,H9/(5000000+5000000*Assumptions!B6+Assumptions!B8+Assumptions!B17+Assumptions!B18+Assumptions!B19+Assumptions!B20+Assumptions!B21+Assumptions!B22+Assumptions!B23+Assumptions!B24+Assumptions!B25+5000000*(Assumptions!B29/12)*Assumptions!B28+Assumptions!B31+(3600*Assumptions!B10*(1+Assumptions!B14*0.25))*Assumptions!B33+Assumptions!B34+Assumptions!B35))</f>
        <v>-0.999988689806693</v>
      </c>
    </row>
  </sheetData>
  <mergeCells count="3">
    <mergeCell ref="A1:I1"/>
    <mergeCell ref="A12:I12"/>
    <mergeCell ref="A14:I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28"/>
    <col collapsed="false" customWidth="true" hidden="false" outlineLevel="0" max="3" min="3" style="1" width="16"/>
    <col collapsed="false" customWidth="true" hidden="false" outlineLevel="0" max="6" min="4" style="1" width="18"/>
    <col collapsed="false" customWidth="true" hidden="false" outlineLevel="0" max="7" min="7" style="1" width="16"/>
    <col collapsed="false" customWidth="true" hidden="false" outlineLevel="0" max="8" min="8" style="1" width="32"/>
  </cols>
  <sheetData>
    <row r="1" customFormat="false" ht="24" hidden="false" customHeight="true" outlineLevel="0" collapsed="false">
      <c r="A1" s="15" t="s">
        <v>210</v>
      </c>
      <c r="B1" s="15"/>
      <c r="C1" s="15"/>
      <c r="D1" s="15"/>
      <c r="E1" s="15"/>
      <c r="F1" s="15"/>
      <c r="G1" s="15"/>
      <c r="H1" s="15"/>
    </row>
    <row r="2" customFormat="false" ht="15" hidden="false" customHeight="true" outlineLevel="0" collapsed="false">
      <c r="A2" s="9" t="s">
        <v>211</v>
      </c>
      <c r="B2" s="9" t="s">
        <v>212</v>
      </c>
      <c r="C2" s="9" t="s">
        <v>114</v>
      </c>
      <c r="D2" s="9" t="s">
        <v>115</v>
      </c>
      <c r="E2" s="9" t="s">
        <v>213</v>
      </c>
      <c r="F2" s="9" t="s">
        <v>140</v>
      </c>
      <c r="G2" s="9" t="s">
        <v>214</v>
      </c>
      <c r="H2" s="9" t="s">
        <v>118</v>
      </c>
    </row>
    <row r="3" customFormat="false" ht="15.75" hidden="false" customHeight="true" outlineLevel="0" collapsed="false">
      <c r="A3" s="22" t="n">
        <v>1</v>
      </c>
      <c r="B3" s="17" t="s">
        <v>215</v>
      </c>
      <c r="C3" s="21" t="n">
        <v>418</v>
      </c>
      <c r="D3" s="11" t="n">
        <f aca="false">Assumptions!B12*(1+Assumptions!B14)</f>
        <v>235284</v>
      </c>
      <c r="E3" s="11" t="n">
        <f aca="false">C3*D3</f>
        <v>98348712</v>
      </c>
      <c r="F3" s="18"/>
      <c r="G3" s="23" t="s">
        <v>216</v>
      </c>
      <c r="H3" s="19" t="s">
        <v>217</v>
      </c>
    </row>
    <row r="4" customFormat="false" ht="15.75" hidden="false" customHeight="true" outlineLevel="0" collapsed="false">
      <c r="A4" s="22" t="n">
        <v>2</v>
      </c>
      <c r="B4" s="17" t="s">
        <v>218</v>
      </c>
      <c r="C4" s="21" t="n">
        <v>418</v>
      </c>
      <c r="D4" s="11" t="n">
        <f aca="false">Assumptions!B12</f>
        <v>84</v>
      </c>
      <c r="E4" s="11" t="n">
        <f aca="false">C4*D4</f>
        <v>35112</v>
      </c>
      <c r="F4" s="18"/>
      <c r="G4" s="23" t="s">
        <v>216</v>
      </c>
      <c r="H4" s="19" t="s">
        <v>219</v>
      </c>
    </row>
    <row r="5" customFormat="false" ht="15.75" hidden="false" customHeight="true" outlineLevel="0" collapsed="false">
      <c r="A5" s="22" t="n">
        <v>3</v>
      </c>
      <c r="B5" s="17" t="s">
        <v>218</v>
      </c>
      <c r="C5" s="21" t="n">
        <v>418</v>
      </c>
      <c r="D5" s="11" t="n">
        <f aca="false">Assumptions!B12</f>
        <v>84</v>
      </c>
      <c r="E5" s="11" t="n">
        <f aca="false">C5*D5</f>
        <v>35112</v>
      </c>
      <c r="F5" s="18"/>
      <c r="G5" s="23" t="s">
        <v>216</v>
      </c>
      <c r="H5" s="19" t="s">
        <v>219</v>
      </c>
    </row>
    <row r="6" customFormat="false" ht="15.75" hidden="false" customHeight="true" outlineLevel="0" collapsed="false">
      <c r="A6" s="22" t="n">
        <v>4</v>
      </c>
      <c r="B6" s="17" t="s">
        <v>220</v>
      </c>
      <c r="C6" s="21" t="n">
        <v>418</v>
      </c>
      <c r="D6" s="11" t="n">
        <f aca="false">Assumptions!B12</f>
        <v>84</v>
      </c>
      <c r="E6" s="11" t="n">
        <f aca="false">C6*D6</f>
        <v>35112</v>
      </c>
      <c r="F6" s="18"/>
      <c r="G6" s="23" t="s">
        <v>216</v>
      </c>
      <c r="H6" s="19" t="s">
        <v>221</v>
      </c>
    </row>
    <row r="7" customFormat="false" ht="15.75" hidden="false" customHeight="true" outlineLevel="0" collapsed="false">
      <c r="A7" s="22" t="n">
        <v>5</v>
      </c>
      <c r="B7" s="17" t="s">
        <v>222</v>
      </c>
      <c r="C7" s="21" t="n">
        <v>419</v>
      </c>
      <c r="D7" s="11" t="n">
        <f aca="false">Assumptions!B12*(1+Assumptions!B14*0.5)</f>
        <v>117684</v>
      </c>
      <c r="E7" s="11" t="n">
        <f aca="false">C7*D7</f>
        <v>49309596</v>
      </c>
      <c r="F7" s="18"/>
      <c r="G7" s="23" t="s">
        <v>216</v>
      </c>
      <c r="H7" s="19" t="s">
        <v>223</v>
      </c>
    </row>
    <row r="8" customFormat="false" ht="15.75" hidden="false" customHeight="true" outlineLevel="0" collapsed="false">
      <c r="A8" s="35"/>
      <c r="B8" s="24"/>
      <c r="C8" s="36" t="n">
        <f aca="false">SUM(C3:C7)</f>
        <v>2091</v>
      </c>
      <c r="D8" s="24"/>
      <c r="E8" s="6" t="n">
        <f aca="false">SUM(E3:E7)</f>
        <v>147763644</v>
      </c>
      <c r="F8" s="6" t="n">
        <f aca="false">SUM(F3:F7)</f>
        <v>0</v>
      </c>
      <c r="G8" s="24"/>
      <c r="H8" s="24"/>
    </row>
    <row r="10" customFormat="false" ht="15" hidden="false" customHeight="true" outlineLevel="0" collapsed="false">
      <c r="A10" s="4" t="s">
        <v>224</v>
      </c>
      <c r="B10" s="4"/>
      <c r="C10" s="4"/>
      <c r="D10" s="4"/>
      <c r="E10" s="4"/>
      <c r="F10" s="4"/>
      <c r="G10" s="4"/>
      <c r="H10" s="4"/>
    </row>
    <row r="11" customFormat="false" ht="15" hidden="false" customHeight="true" outlineLevel="0" collapsed="false">
      <c r="A11" s="9" t="s">
        <v>225</v>
      </c>
      <c r="B11" s="9" t="s">
        <v>226</v>
      </c>
      <c r="C11" s="9" t="s">
        <v>227</v>
      </c>
      <c r="D11" s="9" t="s">
        <v>228</v>
      </c>
      <c r="E11" s="9" t="s">
        <v>229</v>
      </c>
      <c r="F11" s="9"/>
      <c r="G11" s="9"/>
      <c r="H11" s="9" t="s">
        <v>118</v>
      </c>
    </row>
    <row r="12" customFormat="false" ht="13.5" hidden="false" customHeight="true" outlineLevel="0" collapsed="false">
      <c r="A12" s="37" t="s">
        <v>230</v>
      </c>
      <c r="B12" s="38" t="s">
        <v>231</v>
      </c>
      <c r="C12" s="38" t="s">
        <v>232</v>
      </c>
      <c r="D12" s="38" t="s">
        <v>233</v>
      </c>
      <c r="E12" s="38" t="s">
        <v>234</v>
      </c>
      <c r="F12" s="7"/>
      <c r="G12" s="7"/>
      <c r="H12" s="7"/>
    </row>
    <row r="13" customFormat="false" ht="13.5" hidden="false" customHeight="true" outlineLevel="0" collapsed="false">
      <c r="A13" s="37" t="s">
        <v>235</v>
      </c>
      <c r="B13" s="38" t="s">
        <v>236</v>
      </c>
      <c r="C13" s="38" t="s">
        <v>237</v>
      </c>
      <c r="D13" s="38" t="s">
        <v>238</v>
      </c>
      <c r="E13" s="38" t="s">
        <v>234</v>
      </c>
      <c r="F13" s="7"/>
      <c r="G13" s="7"/>
      <c r="H13" s="7"/>
    </row>
    <row r="14" customFormat="false" ht="13.5" hidden="false" customHeight="true" outlineLevel="0" collapsed="false">
      <c r="A14" s="37" t="s">
        <v>239</v>
      </c>
      <c r="B14" s="38" t="s">
        <v>240</v>
      </c>
      <c r="C14" s="38" t="s">
        <v>237</v>
      </c>
      <c r="D14" s="38" t="s">
        <v>241</v>
      </c>
      <c r="E14" s="38" t="s">
        <v>234</v>
      </c>
      <c r="F14" s="7"/>
      <c r="G14" s="7"/>
      <c r="H14" s="7"/>
    </row>
    <row r="15" customFormat="false" ht="13.5" hidden="false" customHeight="true" outlineLevel="0" collapsed="false">
      <c r="A15" s="37" t="s">
        <v>242</v>
      </c>
      <c r="B15" s="38" t="s">
        <v>243</v>
      </c>
      <c r="C15" s="38" t="s">
        <v>244</v>
      </c>
      <c r="D15" s="38" t="s">
        <v>245</v>
      </c>
      <c r="E15" s="38" t="s">
        <v>234</v>
      </c>
      <c r="F15" s="7"/>
      <c r="G15" s="7"/>
      <c r="H15" s="7"/>
    </row>
    <row r="16" customFormat="false" ht="13.5" hidden="false" customHeight="true" outlineLevel="0" collapsed="false">
      <c r="A16" s="37" t="s">
        <v>246</v>
      </c>
      <c r="B16" s="38" t="s">
        <v>247</v>
      </c>
      <c r="C16" s="38" t="s">
        <v>248</v>
      </c>
      <c r="D16" s="38" t="s">
        <v>233</v>
      </c>
      <c r="E16" s="38" t="s">
        <v>234</v>
      </c>
      <c r="F16" s="7"/>
      <c r="G16" s="7"/>
      <c r="H16" s="7"/>
    </row>
    <row r="17" customFormat="false" ht="13.5" hidden="false" customHeight="true" outlineLevel="0" collapsed="false">
      <c r="A17" s="37" t="s">
        <v>249</v>
      </c>
      <c r="B17" s="38" t="s">
        <v>250</v>
      </c>
      <c r="C17" s="38" t="s">
        <v>248</v>
      </c>
      <c r="D17" s="38" t="s">
        <v>233</v>
      </c>
      <c r="E17" s="38" t="s">
        <v>234</v>
      </c>
      <c r="F17" s="7"/>
      <c r="G17" s="7"/>
      <c r="H17" s="7"/>
    </row>
    <row r="18" customFormat="false" ht="13.5" hidden="false" customHeight="true" outlineLevel="0" collapsed="false">
      <c r="A18" s="37" t="s">
        <v>251</v>
      </c>
      <c r="B18" s="38" t="s">
        <v>252</v>
      </c>
      <c r="C18" s="38" t="s">
        <v>253</v>
      </c>
      <c r="D18" s="38" t="s">
        <v>254</v>
      </c>
      <c r="E18" s="38" t="s">
        <v>234</v>
      </c>
      <c r="F18" s="7"/>
      <c r="G18" s="7"/>
      <c r="H18" s="7"/>
    </row>
    <row r="19" customFormat="false" ht="13.5" hidden="false" customHeight="true" outlineLevel="0" collapsed="false">
      <c r="A19" s="37" t="s">
        <v>255</v>
      </c>
      <c r="B19" s="38" t="s">
        <v>256</v>
      </c>
      <c r="C19" s="38" t="s">
        <v>253</v>
      </c>
      <c r="D19" s="38" t="s">
        <v>257</v>
      </c>
      <c r="E19" s="38" t="s">
        <v>234</v>
      </c>
      <c r="F19" s="7"/>
      <c r="G19" s="7"/>
      <c r="H19" s="7"/>
    </row>
    <row r="20" customFormat="false" ht="13.5" hidden="false" customHeight="true" outlineLevel="0" collapsed="false">
      <c r="A20" s="37" t="s">
        <v>258</v>
      </c>
      <c r="B20" s="38" t="s">
        <v>259</v>
      </c>
      <c r="C20" s="38" t="s">
        <v>260</v>
      </c>
      <c r="D20" s="38" t="s">
        <v>238</v>
      </c>
      <c r="E20" s="38" t="s">
        <v>234</v>
      </c>
      <c r="F20" s="7"/>
      <c r="G20" s="7"/>
      <c r="H20" s="7"/>
    </row>
    <row r="21" customFormat="false" ht="13.5" hidden="false" customHeight="true" outlineLevel="0" collapsed="false">
      <c r="A21" s="37" t="s">
        <v>261</v>
      </c>
      <c r="B21" s="38" t="s">
        <v>262</v>
      </c>
      <c r="C21" s="38" t="s">
        <v>263</v>
      </c>
      <c r="D21" s="38" t="s">
        <v>264</v>
      </c>
      <c r="E21" s="38" t="s">
        <v>234</v>
      </c>
      <c r="F21" s="7"/>
      <c r="G21" s="7"/>
      <c r="H21" s="7"/>
    </row>
    <row r="22" customFormat="false" ht="13.5" hidden="false" customHeight="true" outlineLevel="0" collapsed="false">
      <c r="A22" s="37" t="s">
        <v>265</v>
      </c>
      <c r="B22" s="38" t="s">
        <v>266</v>
      </c>
      <c r="C22" s="38" t="s">
        <v>267</v>
      </c>
      <c r="D22" s="38" t="s">
        <v>245</v>
      </c>
      <c r="E22" s="38" t="s">
        <v>234</v>
      </c>
      <c r="F22" s="7"/>
      <c r="G22" s="7"/>
      <c r="H22" s="7"/>
    </row>
    <row r="23" customFormat="false" ht="13.5" hidden="false" customHeight="true" outlineLevel="0" collapsed="false">
      <c r="A23" s="37" t="s">
        <v>268</v>
      </c>
      <c r="B23" s="38" t="s">
        <v>269</v>
      </c>
      <c r="C23" s="38" t="s">
        <v>270</v>
      </c>
      <c r="D23" s="38" t="s">
        <v>271</v>
      </c>
      <c r="E23" s="38" t="s">
        <v>234</v>
      </c>
      <c r="F23" s="7"/>
      <c r="G23" s="7"/>
      <c r="H23" s="7"/>
    </row>
    <row r="24" customFormat="false" ht="13.5" hidden="false" customHeight="true" outlineLevel="0" collapsed="false">
      <c r="A24" s="37" t="s">
        <v>272</v>
      </c>
      <c r="B24" s="38" t="s">
        <v>273</v>
      </c>
      <c r="C24" s="38" t="s">
        <v>274</v>
      </c>
      <c r="D24" s="38" t="s">
        <v>275</v>
      </c>
      <c r="E24" s="38" t="s">
        <v>234</v>
      </c>
      <c r="F24" s="7"/>
      <c r="G24" s="7"/>
      <c r="H24" s="7"/>
    </row>
    <row r="25" customFormat="false" ht="13.5" hidden="false" customHeight="true" outlineLevel="0" collapsed="false">
      <c r="A25" s="37" t="s">
        <v>276</v>
      </c>
      <c r="B25" s="38" t="s">
        <v>277</v>
      </c>
      <c r="C25" s="38" t="s">
        <v>278</v>
      </c>
      <c r="D25" s="38" t="s">
        <v>233</v>
      </c>
      <c r="E25" s="38" t="s">
        <v>234</v>
      </c>
      <c r="F25" s="7"/>
      <c r="G25" s="7"/>
      <c r="H25" s="7"/>
    </row>
  </sheetData>
  <mergeCells count="2">
    <mergeCell ref="A1:H1"/>
    <mergeCell ref="A10:H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2026-04-27T02:58:28Z</dcterms:created>
  <dc:creator>openpyxl</dc:creator>
  <dc:description/>
  <dc:language>en-US</dc:language>
  <cp:lastModifiedBy/>
  <dcterms:modified xsi:type="dcterms:W3CDTF">2026-04-27T03:00:23Z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